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30" tabRatio="867" activeTab="4"/>
  </bookViews>
  <sheets>
    <sheet name="Carátula de participación" sheetId="1" r:id="rId1"/>
    <sheet name="Comparativo por deportes" sheetId="2" r:id="rId2"/>
    <sheet name="Por Municipios" sheetId="3" r:id="rId3"/>
    <sheet name="Comparativo Zonas" sheetId="4" r:id="rId4"/>
    <sheet name="Equipos por categorias " sheetId="5" r:id="rId5"/>
    <sheet name="Por año nacim." sheetId="6" r:id="rId6"/>
    <sheet name="Por género" sheetId="7" r:id="rId7"/>
    <sheet name="Fútbol campo" sheetId="8" r:id="rId8"/>
  </sheets>
  <externalReferences>
    <externalReference r:id="rId11"/>
    <externalReference r:id="rId12"/>
  </externalReferences>
  <definedNames>
    <definedName name="ana">'[2]Oviedo'!$AB$9</definedName>
    <definedName name="_xlnm.Print_Area" localSheetId="1">'Comparativo por deportes'!$B$1:$AV$41</definedName>
    <definedName name="_xlnm.Print_Area" localSheetId="6">'Por género'!$A$1:$E$49</definedName>
    <definedName name="AVILES">'[1]Aviles'!$AH$13</definedName>
    <definedName name="bbb">'[2]Gijon'!$AD$6</definedName>
    <definedName name="CAUDAL">'[1]Caudal'!$AI$6</definedName>
    <definedName name="GIJON">'[1]Gijon'!$AH$6</definedName>
    <definedName name="GRADO">'[1]Grado'!$AH$13</definedName>
    <definedName name="NALON">'[1]Nalon'!$AH$8</definedName>
    <definedName name="NAVIA">'[1]Cuenca Navia'!$AH$9</definedName>
    <definedName name="occidente">'[2]Occidente Sur'!$Y$8</definedName>
    <definedName name="OCCIDENTESUR">'[1]Occidente Sur'!$AH$8</definedName>
    <definedName name="oooo">'[2]Oscos Eo'!$AA$13</definedName>
    <definedName name="ORIENTE">'[1]Oriente'!$AH$14</definedName>
    <definedName name="OSCOS">'[1]Oscos Eo'!$AH$13</definedName>
    <definedName name="OVIEDO">'[1]Oviedo'!$AH$9</definedName>
    <definedName name="SIERO">'[1]Siero'!$AH$12</definedName>
  </definedNames>
  <calcPr fullCalcOnLoad="1"/>
</workbook>
</file>

<file path=xl/comments3.xml><?xml version="1.0" encoding="utf-8"?>
<comments xmlns="http://schemas.openxmlformats.org/spreadsheetml/2006/main">
  <authors>
    <author>DGTIC</author>
  </authors>
  <commentList>
    <comment ref="AH27" authorId="0">
      <text>
        <r>
          <rPr>
            <b/>
            <sz val="8"/>
            <rFont val="Tahoma"/>
            <family val="2"/>
          </rPr>
          <t>DGTIC:</t>
        </r>
        <r>
          <rPr>
            <sz val="8"/>
            <rFont val="Tahoma"/>
            <family val="2"/>
          </rPr>
          <t xml:space="preserve">
192 de g.artistica</t>
        </r>
      </text>
    </comment>
  </commentList>
</comments>
</file>

<file path=xl/comments6.xml><?xml version="1.0" encoding="utf-8"?>
<comments xmlns="http://schemas.openxmlformats.org/spreadsheetml/2006/main">
  <authors>
    <author>SARARC</author>
  </authors>
  <commentList>
    <comment ref="A16" authorId="0">
      <text>
        <r>
          <rPr>
            <b/>
            <sz val="8"/>
            <rFont val="Tahoma"/>
            <family val="2"/>
          </rPr>
          <t>SARARC:</t>
        </r>
        <r>
          <rPr>
            <sz val="8"/>
            <rFont val="Tahoma"/>
            <family val="2"/>
          </rPr>
          <t xml:space="preserve">
Dividí el total de cada categoría entre los 2 años de dicha categoría</t>
        </r>
      </text>
    </comment>
  </commentList>
</comments>
</file>

<file path=xl/sharedStrings.xml><?xml version="1.0" encoding="utf-8"?>
<sst xmlns="http://schemas.openxmlformats.org/spreadsheetml/2006/main" count="835" uniqueCount="271">
  <si>
    <t>MEMORIA JUEGOS DEPORTIVOS DEL PRINCIPADO</t>
  </si>
  <si>
    <t>DATOS DE PARTICIPACIÓN</t>
  </si>
  <si>
    <t>COMPARATIVO DE PARTICIPACION POR MUNICIPIOS</t>
  </si>
  <si>
    <t>MUNICIPIOS / AÑOS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</si>
  <si>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</si>
  <si>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</si>
  <si>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</si>
  <si>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</si>
  <si>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</si>
  <si>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</si>
  <si>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</si>
  <si>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</si>
  <si>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</si>
  <si>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</si>
  <si>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</si>
  <si>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</si>
  <si>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</si>
  <si>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</si>
  <si>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</si>
  <si>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</si>
  <si>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</si>
  <si>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</si>
  <si>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</si>
  <si>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</si>
  <si>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</si>
  <si>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</si>
  <si>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</si>
  <si>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</si>
  <si>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</si>
  <si>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</si>
  <si>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ALLANDE</t>
  </si>
  <si>
    <t>ALLER</t>
  </si>
  <si>
    <t>AMIEVA</t>
  </si>
  <si>
    <t>AVILES</t>
  </si>
  <si>
    <t>BELMONTE DE MIRANDA</t>
  </si>
  <si>
    <t>BIMENES</t>
  </si>
  <si>
    <t>BOAL</t>
  </si>
  <si>
    <t>CABRALES</t>
  </si>
  <si>
    <t>CABRANES</t>
  </si>
  <si>
    <t xml:space="preserve"> </t>
  </si>
  <si>
    <t>CANDAMO</t>
  </si>
  <si>
    <t>CANGAS DE ONIS</t>
  </si>
  <si>
    <t>CANGAS DEL NARCEA</t>
  </si>
  <si>
    <t>CARAVIA</t>
  </si>
  <si>
    <t>CARREÑO</t>
  </si>
  <si>
    <t>CASO</t>
  </si>
  <si>
    <t>CASTRILLON</t>
  </si>
  <si>
    <t>CASTROPOL</t>
  </si>
  <si>
    <t>COAÑA</t>
  </si>
  <si>
    <t>COLUNGA</t>
  </si>
  <si>
    <t>CORVERA</t>
  </si>
  <si>
    <t>CUDILLERO</t>
  </si>
  <si>
    <t>DEGAÑA</t>
  </si>
  <si>
    <t>EL FRANCO</t>
  </si>
  <si>
    <t>GIJON</t>
  </si>
  <si>
    <t>GOZON</t>
  </si>
  <si>
    <t>GRADO</t>
  </si>
  <si>
    <t>GRANDAS DE SALIME</t>
  </si>
  <si>
    <t>IBIAS</t>
  </si>
  <si>
    <t>ILLANO</t>
  </si>
  <si>
    <t>ILLAS</t>
  </si>
  <si>
    <t>LANGREO</t>
  </si>
  <si>
    <t>LAS REGUERAS</t>
  </si>
  <si>
    <t>LAVIANA</t>
  </si>
  <si>
    <t>LENA</t>
  </si>
  <si>
    <t>LLANERA</t>
  </si>
  <si>
    <t>LLANES</t>
  </si>
  <si>
    <t>MIERES</t>
  </si>
  <si>
    <t>MORCIN</t>
  </si>
  <si>
    <t>MUROS DEL NALON</t>
  </si>
  <si>
    <t>NAVA</t>
  </si>
  <si>
    <t>NAVIA</t>
  </si>
  <si>
    <t>NOREÑA</t>
  </si>
  <si>
    <t>ONIS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</si>
  <si>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</si>
  <si>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</si>
  <si>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</si>
  <si>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</si>
  <si>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</si>
  <si>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</si>
  <si>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</si>
  <si>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</si>
  <si>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</si>
  <si>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QUIROS</t>
  </si>
  <si>
    <t>RIBADEDEVA</t>
  </si>
  <si>
    <t>RIBADESELLA</t>
  </si>
  <si>
    <t>RIBERA DE ARRIBA</t>
  </si>
  <si>
    <t>RIOSA</t>
  </si>
  <si>
    <t>SALAS</t>
  </si>
  <si>
    <t>SAN MARTIN  DE OSCOS</t>
  </si>
  <si>
    <t>SAN MARTIN R.A.</t>
  </si>
  <si>
    <t>SAN TIRSO DE ABRES</t>
  </si>
  <si>
    <t>SANTA EULALIA O.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</si>
  <si>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</si>
  <si>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</si>
  <si>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</si>
  <si>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</si>
  <si>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</si>
  <si>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</si>
  <si>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</si>
  <si>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</si>
  <si>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</si>
  <si>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</si>
  <si>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VALDES</t>
  </si>
  <si>
    <t>VEGADEO</t>
  </si>
  <si>
    <t>VILLANUEVA DE OSCOS</t>
  </si>
  <si>
    <t>VILLAVICIOSA</t>
  </si>
  <si>
    <t>VILLAYON</t>
  </si>
  <si>
    <t>YERNES Y TAMEZA</t>
  </si>
  <si>
    <t>Totales</t>
  </si>
  <si>
    <t>13/14</t>
  </si>
  <si>
    <t xml:space="preserve">JUEGOS DEPORTIVOS DEL PRINCIPADO DE ASTURIAS </t>
  </si>
  <si>
    <t>PARTICIPACION POR ZONAS</t>
  </si>
  <si>
    <t>OCC.NORTE(*)</t>
  </si>
  <si>
    <t>OSCOS-EO</t>
  </si>
  <si>
    <t>CUENCA NAVIA</t>
  </si>
  <si>
    <t>ORIENTE</t>
  </si>
  <si>
    <t>CAUDAL</t>
  </si>
  <si>
    <t>OCCIDENTE SUR</t>
  </si>
  <si>
    <t>NALON</t>
  </si>
  <si>
    <t xml:space="preserve">(*) La zona Occidente Norte se subdividió en la temporada 95/96 en la de Oscos-Eo y la de Cuenca Navia   </t>
  </si>
  <si>
    <t>TOTAL</t>
  </si>
  <si>
    <t>VOLEIBOL</t>
  </si>
  <si>
    <t>BALONMANO</t>
  </si>
  <si>
    <t>BALONCESTO</t>
  </si>
  <si>
    <t>FUTBOL SALA</t>
  </si>
  <si>
    <t>INFANTIL</t>
  </si>
  <si>
    <t>CADETE</t>
  </si>
  <si>
    <t>RUGBY</t>
  </si>
  <si>
    <t>FEMENINO</t>
  </si>
  <si>
    <t>MASCULINO</t>
  </si>
  <si>
    <t>Baloncesto</t>
  </si>
  <si>
    <t>Ajedrez</t>
  </si>
  <si>
    <t>Badminton</t>
  </si>
  <si>
    <t>Balonmano</t>
  </si>
  <si>
    <t>Beisbol</t>
  </si>
  <si>
    <t>Bolos</t>
  </si>
  <si>
    <t>Ciclismo</t>
  </si>
  <si>
    <t>Futbol</t>
  </si>
  <si>
    <t>Futbol sala</t>
  </si>
  <si>
    <t>Gimnasia R.</t>
  </si>
  <si>
    <t>Hockey</t>
  </si>
  <si>
    <t>Judo</t>
  </si>
  <si>
    <t>Natacion</t>
  </si>
  <si>
    <t>Piragüismo</t>
  </si>
  <si>
    <t>Remo</t>
  </si>
  <si>
    <t>Tenis mesa</t>
  </si>
  <si>
    <t>Voleibol</t>
  </si>
  <si>
    <t>totales</t>
  </si>
  <si>
    <t>Gimnasia A.</t>
  </si>
  <si>
    <t>Tenis</t>
  </si>
  <si>
    <t>BENJAMIN</t>
  </si>
  <si>
    <t>ALEVIN</t>
  </si>
  <si>
    <t>JUVENIL</t>
  </si>
  <si>
    <t>Kárate</t>
  </si>
  <si>
    <t>temporadas</t>
  </si>
  <si>
    <t>Campo traves</t>
  </si>
  <si>
    <t>86/87</t>
  </si>
  <si>
    <t>99/2000</t>
  </si>
  <si>
    <t>DEPORTE</t>
  </si>
  <si>
    <t>HOJA DE RECOGIDA DE DATOS DE PARTICIPACION DE  EQUIPOS POR CATEGORÍAS</t>
  </si>
  <si>
    <t>ZONA DE CAUDAL</t>
  </si>
  <si>
    <t>ZONA DE AVILES</t>
  </si>
  <si>
    <t>ZONA DE GIJON</t>
  </si>
  <si>
    <t>ZONA DE GRADO</t>
  </si>
  <si>
    <t>ZONA DE NALON</t>
  </si>
  <si>
    <t>ZONA DE NAVIA</t>
  </si>
  <si>
    <t>ZONA DE OSCOS EO</t>
  </si>
  <si>
    <t>ZONA DE OCCIDENTE SUR</t>
  </si>
  <si>
    <t>ZONA DE ORIENTE</t>
  </si>
  <si>
    <t>ZONA DE OVIEDO</t>
  </si>
  <si>
    <t>Otros</t>
  </si>
  <si>
    <t>FÚTBOL</t>
  </si>
  <si>
    <t xml:space="preserve">FÚTBOL </t>
  </si>
  <si>
    <t>Hockey sala</t>
  </si>
  <si>
    <t>Orientación</t>
  </si>
  <si>
    <t>HOCKEY P.</t>
  </si>
  <si>
    <t>Golf</t>
  </si>
  <si>
    <t>Futbol 7/Flag-f.</t>
  </si>
  <si>
    <t>Voley playa</t>
  </si>
  <si>
    <t>Rugby</t>
  </si>
  <si>
    <t>Hockey hierba</t>
  </si>
  <si>
    <t>Triatlón</t>
  </si>
  <si>
    <t>EsquI</t>
  </si>
  <si>
    <t>ZONA DE SIERO</t>
  </si>
  <si>
    <t xml:space="preserve"> -     </t>
  </si>
  <si>
    <t>Tiro con arco</t>
  </si>
  <si>
    <t>Taekwon-do</t>
  </si>
  <si>
    <t>14/15</t>
  </si>
  <si>
    <t>Tenis playa</t>
  </si>
  <si>
    <t>Vela</t>
  </si>
  <si>
    <t>N.Sincro</t>
  </si>
  <si>
    <t>Atletismo/C.Traves</t>
  </si>
  <si>
    <t>15/16</t>
  </si>
  <si>
    <t>16/17</t>
  </si>
  <si>
    <t>Rugby playa</t>
  </si>
  <si>
    <t>Snowboard</t>
  </si>
  <si>
    <t>AJEDREZ</t>
  </si>
  <si>
    <t>ATLETISMO/C. TRAVÉS</t>
  </si>
  <si>
    <t>BADMINTON</t>
  </si>
  <si>
    <t>BOLOS</t>
  </si>
  <si>
    <t>CICLISMO</t>
  </si>
  <si>
    <t>ESQUÍ</t>
  </si>
  <si>
    <t>FUTBOL CAMPO</t>
  </si>
  <si>
    <t>GIMNASIA ARTÍSTICA</t>
  </si>
  <si>
    <t>GIMNASIA RÍTMICA</t>
  </si>
  <si>
    <t>GOLF</t>
  </si>
  <si>
    <t>HOCKEY PATINES</t>
  </si>
  <si>
    <t>HOCKEY SALA</t>
  </si>
  <si>
    <t>HOCKEY HIERBA</t>
  </si>
  <si>
    <t>JUDO</t>
  </si>
  <si>
    <t>KARATE KATAS</t>
  </si>
  <si>
    <t>NATACIÓN</t>
  </si>
  <si>
    <t>NATACIÓN SINCRONIZADA</t>
  </si>
  <si>
    <t>ORIENTACIÓN</t>
  </si>
  <si>
    <t>PATINAJE DE VELOCIDAD</t>
  </si>
  <si>
    <t>PIRAGÜISMO</t>
  </si>
  <si>
    <t>REMOERGÓMETRO</t>
  </si>
  <si>
    <t>RUGBY PLAYA</t>
  </si>
  <si>
    <t>SNOWBOARD</t>
  </si>
  <si>
    <t>TAEKWONDO</t>
  </si>
  <si>
    <t>TENIS</t>
  </si>
  <si>
    <t>TENIS DE MESA</t>
  </si>
  <si>
    <t>TIRO CON ARCO</t>
  </si>
  <si>
    <t>TRIATLON</t>
  </si>
  <si>
    <t>VELA</t>
  </si>
  <si>
    <t>VOLEY PLAYA</t>
  </si>
  <si>
    <t>PARTICIPANTES POR DEPORTE Y POR GÉNERO</t>
  </si>
  <si>
    <t>17/18</t>
  </si>
  <si>
    <t>Patinaje velocidad</t>
  </si>
  <si>
    <t>Patinaje artístico</t>
  </si>
  <si>
    <t>BEISBOL</t>
  </si>
  <si>
    <t>PATINAJE ARTÍSTICO</t>
  </si>
  <si>
    <t>TENIS PLAYA</t>
  </si>
  <si>
    <t>18/19</t>
  </si>
  <si>
    <t>Escalada</t>
  </si>
  <si>
    <t>Squash</t>
  </si>
  <si>
    <t>Surf</t>
  </si>
  <si>
    <t>ESCALADA</t>
  </si>
  <si>
    <t>SURF</t>
  </si>
  <si>
    <t>1988-89 a 2018-20</t>
  </si>
  <si>
    <t>19/20</t>
  </si>
  <si>
    <t>20/21</t>
  </si>
  <si>
    <t>21/22</t>
  </si>
  <si>
    <t>CURSO 2022-2023</t>
  </si>
  <si>
    <t>2022/2023</t>
  </si>
  <si>
    <t>22/23</t>
  </si>
  <si>
    <t>PARTICIPANTES POR DEPORTE Y POR AÑO DE NACIMIENTO  -  JUEGOS DEPORTIVOS 2022/23</t>
  </si>
  <si>
    <t>&gt;2016</t>
  </si>
  <si>
    <t>&lt;2007</t>
  </si>
  <si>
    <t>BALONCESTO 3X3</t>
  </si>
  <si>
    <t>Baloncesto 3x3</t>
  </si>
  <si>
    <t>EQUIPOS: FÚTBOL</t>
  </si>
  <si>
    <t>MUNICIPIOS</t>
  </si>
  <si>
    <t>ALEVÍN</t>
  </si>
  <si>
    <t>nº equip.</t>
  </si>
  <si>
    <t>nº jugad.</t>
  </si>
  <si>
    <t>T. Equip.</t>
  </si>
  <si>
    <t>T. Particip.</t>
  </si>
  <si>
    <t xml:space="preserve">                                                                                     </t>
  </si>
  <si>
    <t xml:space="preserve">                                                    </t>
  </si>
  <si>
    <t xml:space="preserve">                                                      </t>
  </si>
  <si>
    <t>ZONAS</t>
  </si>
  <si>
    <t>alevín</t>
  </si>
  <si>
    <t>infantil</t>
  </si>
  <si>
    <t>cadete</t>
  </si>
  <si>
    <t>AVILÉS</t>
  </si>
  <si>
    <t>GIJÓN</t>
  </si>
  <si>
    <t>NALÓN</t>
  </si>
  <si>
    <t>OCCIDENTE</t>
  </si>
  <si>
    <t>OSCOS EO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</si>
</sst>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_-;\-* #,##0_-;_-* &quot;-&quot;_-;_-@_-"/>
    <numFmt numFmtId="181" formatCode="0.0"/>
    <numFmt numFmtId="182" formatCode="_-* #,##0.0\ _P_t_s_-;\-* #,##0.0\ _P_t_s_-;_-* &quot;-&quot;\ _P_t_s_-;_-@_-"/>
    <numFmt numFmtId="183" formatCode="0.000000"/>
    <numFmt numFmtId="184" formatCode="0.00000"/>
    <numFmt numFmtId="185" formatCode="0.0000"/>
    <numFmt numFmtId="186" formatCode="0.000"/>
    <numFmt numFmtId="187" formatCode="0.000000000"/>
    <numFmt numFmtId="188" formatCode="0.0000000000"/>
    <numFmt numFmtId="189" formatCode="0.00000000000"/>
    <numFmt numFmtId="190" formatCode="0.00000000"/>
    <numFmt numFmtId="191" formatCode="0.0000000"/>
    <numFmt numFmtId="192" formatCode="0.0%"/>
    <numFmt numFmtId="193" formatCode="#,##0.0"/>
    <numFmt numFmtId="194" formatCode="0.000%"/>
    <numFmt numFmtId="195" formatCode="0.0000%"/>
    <numFmt numFmtId="196" formatCode="mmmmm\-yy"/>
    <numFmt numFmtId="197" formatCode="yy/yy"/>
    <numFmt numFmtId="198" formatCode="#,##0.00\ &quot;€&quot;"/>
    <numFmt numFmtId="199" formatCode="_-* #,##0.000000\ &quot;€&quot;_-;\-* #,##0.000000\ &quot;€&quot;_-;_-* &quot;-&quot;??????\ &quot;€&quot;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0000"/>
  </numFmts>
  <fonts count="63">
    <font>
      <sz val="9"/>
      <name val="Book Antiqua"/>
      <family val="0"/>
    </font>
    <font>
      <b/>
      <sz val="9"/>
      <name val="Book Antiqua"/>
      <family val="0"/>
    </font>
    <font>
      <i/>
      <sz val="9"/>
      <name val="Book Antiqua"/>
      <family val="0"/>
    </font>
    <font>
      <b/>
      <i/>
      <sz val="9"/>
      <name val="Book Antiqua"/>
      <family val="0"/>
    </font>
    <font>
      <u val="single"/>
      <sz val="7.65"/>
      <color indexed="12"/>
      <name val="Book Antiqua"/>
      <family val="1"/>
    </font>
    <font>
      <u val="single"/>
      <sz val="7.65"/>
      <color indexed="36"/>
      <name val="Book Antiqua"/>
      <family val="1"/>
    </font>
    <font>
      <sz val="8"/>
      <name val="Book Antiqua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24"/>
      <color indexed="12"/>
      <name val="Book Antiqua"/>
      <family val="1"/>
    </font>
    <font>
      <b/>
      <sz val="9"/>
      <color indexed="10"/>
      <name val="Book Antiqua"/>
      <family val="1"/>
    </font>
    <font>
      <sz val="12"/>
      <name val="Book Antiqua"/>
      <family val="1"/>
    </font>
    <font>
      <sz val="26"/>
      <name val="Book Antiqua"/>
      <family val="1"/>
    </font>
    <font>
      <b/>
      <sz val="14"/>
      <name val="Book Antiqua"/>
      <family val="1"/>
    </font>
    <font>
      <sz val="10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Book Antiqua"/>
      <family val="1"/>
    </font>
    <font>
      <sz val="9"/>
      <color indexed="17"/>
      <name val="Book Antiqua"/>
      <family val="1"/>
    </font>
    <font>
      <sz val="9"/>
      <color indexed="57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Book Antiqu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/>
    </xf>
    <xf numFmtId="0" fontId="1" fillId="34" borderId="12" xfId="0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177" fontId="0" fillId="35" borderId="11" xfId="49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5" borderId="13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177" fontId="0" fillId="35" borderId="11" xfId="49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177" fontId="0" fillId="33" borderId="11" xfId="49" applyFont="1" applyFill="1" applyBorder="1" applyAlignment="1">
      <alignment/>
    </xf>
    <xf numFmtId="177" fontId="0" fillId="33" borderId="11" xfId="49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11" fillId="0" borderId="11" xfId="53" applyNumberFormat="1" applyFont="1" applyBorder="1">
      <alignment/>
      <protection/>
    </xf>
    <xf numFmtId="0" fontId="12" fillId="0" borderId="0" xfId="0" applyFont="1" applyAlignment="1">
      <alignment horizontal="centerContinuous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7" fontId="0" fillId="0" borderId="16" xfId="49" applyBorder="1" applyAlignment="1">
      <alignment/>
    </xf>
    <xf numFmtId="177" fontId="0" fillId="0" borderId="17" xfId="49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35" borderId="18" xfId="0" applyNumberFormat="1" applyFill="1" applyBorder="1" applyAlignment="1">
      <alignment/>
    </xf>
    <xf numFmtId="177" fontId="0" fillId="0" borderId="19" xfId="49" applyBorder="1" applyAlignment="1">
      <alignment/>
    </xf>
    <xf numFmtId="177" fontId="0" fillId="0" borderId="11" xfId="49" applyBorder="1" applyAlignment="1">
      <alignment/>
    </xf>
    <xf numFmtId="3" fontId="0" fillId="0" borderId="20" xfId="0" applyNumberFormat="1" applyBorder="1" applyAlignment="1">
      <alignment horizontal="center"/>
    </xf>
    <xf numFmtId="0" fontId="2" fillId="35" borderId="13" xfId="0" applyFont="1" applyFill="1" applyBorder="1" applyAlignment="1">
      <alignment/>
    </xf>
    <xf numFmtId="177" fontId="0" fillId="35" borderId="21" xfId="49" applyFill="1" applyBorder="1" applyAlignment="1">
      <alignment/>
    </xf>
    <xf numFmtId="177" fontId="0" fillId="35" borderId="22" xfId="49" applyFill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37" borderId="25" xfId="0" applyNumberFormat="1" applyFill="1" applyBorder="1" applyAlignment="1">
      <alignment horizontal="center"/>
    </xf>
    <xf numFmtId="0" fontId="11" fillId="0" borderId="11" xfId="53" applyFont="1" applyBorder="1">
      <alignment/>
      <protection/>
    </xf>
    <xf numFmtId="0" fontId="11" fillId="0" borderId="14" xfId="53" applyFont="1" applyBorder="1">
      <alignment/>
      <protection/>
    </xf>
    <xf numFmtId="0" fontId="15" fillId="0" borderId="17" xfId="53" applyFont="1" applyBorder="1">
      <alignment/>
      <protection/>
    </xf>
    <xf numFmtId="3" fontId="11" fillId="0" borderId="14" xfId="53" applyNumberFormat="1" applyFont="1" applyBorder="1">
      <alignment/>
      <protection/>
    </xf>
    <xf numFmtId="0" fontId="13" fillId="0" borderId="26" xfId="53" applyFont="1" applyBorder="1">
      <alignment/>
      <protection/>
    </xf>
    <xf numFmtId="3" fontId="13" fillId="0" borderId="27" xfId="53" applyNumberFormat="1" applyFont="1" applyBorder="1">
      <alignment/>
      <protection/>
    </xf>
    <xf numFmtId="0" fontId="13" fillId="0" borderId="0" xfId="53" applyFont="1" applyBorder="1">
      <alignment/>
      <protection/>
    </xf>
    <xf numFmtId="0" fontId="11" fillId="0" borderId="0" xfId="53" applyFont="1">
      <alignment/>
      <protection/>
    </xf>
    <xf numFmtId="0" fontId="15" fillId="0" borderId="13" xfId="53" applyFont="1" applyBorder="1">
      <alignment/>
      <protection/>
    </xf>
    <xf numFmtId="0" fontId="0" fillId="0" borderId="0" xfId="0" applyAlignment="1">
      <alignment shrinkToFit="1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8" xfId="49" applyNumberFormat="1" applyFill="1" applyBorder="1" applyAlignment="1">
      <alignment/>
    </xf>
    <xf numFmtId="3" fontId="0" fillId="0" borderId="29" xfId="49" applyNumberFormat="1" applyFill="1" applyBorder="1" applyAlignment="1">
      <alignment/>
    </xf>
    <xf numFmtId="3" fontId="0" fillId="0" borderId="30" xfId="49" applyNumberFormat="1" applyFill="1" applyBorder="1" applyAlignment="1">
      <alignment/>
    </xf>
    <xf numFmtId="0" fontId="0" fillId="0" borderId="0" xfId="0" applyAlignment="1">
      <alignment wrapText="1"/>
    </xf>
    <xf numFmtId="180" fontId="0" fillId="37" borderId="25" xfId="0" applyNumberFormat="1" applyFill="1" applyBorder="1" applyAlignment="1">
      <alignment horizontal="center"/>
    </xf>
    <xf numFmtId="177" fontId="0" fillId="0" borderId="11" xfId="49" applyFont="1" applyBorder="1" applyAlignment="1">
      <alignment/>
    </xf>
    <xf numFmtId="0" fontId="18" fillId="0" borderId="0" xfId="0" applyFont="1" applyBorder="1" applyAlignment="1">
      <alignment/>
    </xf>
    <xf numFmtId="177" fontId="0" fillId="0" borderId="11" xfId="49" applyBorder="1" applyAlignment="1">
      <alignment horizontal="center"/>
    </xf>
    <xf numFmtId="177" fontId="0" fillId="0" borderId="11" xfId="49" applyFont="1" applyBorder="1" applyAlignment="1">
      <alignment horizontal="center"/>
    </xf>
    <xf numFmtId="177" fontId="0" fillId="37" borderId="31" xfId="49" applyFill="1" applyBorder="1" applyAlignment="1">
      <alignment horizontal="center"/>
    </xf>
    <xf numFmtId="177" fontId="0" fillId="37" borderId="32" xfId="49" applyFill="1" applyBorder="1" applyAlignment="1">
      <alignment horizontal="center"/>
    </xf>
    <xf numFmtId="0" fontId="0" fillId="0" borderId="11" xfId="49" applyNumberFormat="1" applyBorder="1" applyAlignment="1">
      <alignment horizontal="center"/>
    </xf>
    <xf numFmtId="0" fontId="0" fillId="0" borderId="33" xfId="0" applyBorder="1" applyAlignment="1">
      <alignment/>
    </xf>
    <xf numFmtId="177" fontId="0" fillId="35" borderId="34" xfId="49" applyFill="1" applyBorder="1" applyAlignment="1">
      <alignment horizontal="center"/>
    </xf>
    <xf numFmtId="177" fontId="0" fillId="37" borderId="25" xfId="49" applyFill="1" applyBorder="1" applyAlignment="1">
      <alignment horizontal="center"/>
    </xf>
    <xf numFmtId="169" fontId="0" fillId="37" borderId="35" xfId="0" applyNumberFormat="1" applyFill="1" applyBorder="1" applyAlignment="1">
      <alignment horizontal="center"/>
    </xf>
    <xf numFmtId="169" fontId="0" fillId="37" borderId="36" xfId="0" applyNumberFormat="1" applyFill="1" applyBorder="1" applyAlignment="1">
      <alignment horizontal="center"/>
    </xf>
    <xf numFmtId="169" fontId="0" fillId="37" borderId="25" xfId="0" applyNumberFormat="1" applyFill="1" applyBorder="1" applyAlignment="1">
      <alignment/>
    </xf>
    <xf numFmtId="0" fontId="0" fillId="0" borderId="11" xfId="49" applyNumberFormat="1" applyFont="1" applyBorder="1" applyAlignment="1">
      <alignment horizontal="center"/>
    </xf>
    <xf numFmtId="177" fontId="0" fillId="0" borderId="31" xfId="49" applyBorder="1" applyAlignment="1">
      <alignment horizontal="center"/>
    </xf>
    <xf numFmtId="177" fontId="0" fillId="0" borderId="11" xfId="49" applyFont="1" applyBorder="1" applyAlignment="1">
      <alignment horizontal="left"/>
    </xf>
    <xf numFmtId="177" fontId="0" fillId="35" borderId="11" xfId="49" applyFill="1" applyBorder="1" applyAlignment="1">
      <alignment horizontal="center"/>
    </xf>
    <xf numFmtId="177" fontId="0" fillId="35" borderId="11" xfId="49" applyFont="1" applyFill="1" applyBorder="1" applyAlignment="1">
      <alignment horizontal="center"/>
    </xf>
    <xf numFmtId="177" fontId="0" fillId="0" borderId="14" xfId="49" applyFont="1" applyBorder="1" applyAlignment="1">
      <alignment horizontal="center"/>
    </xf>
    <xf numFmtId="177" fontId="0" fillId="0" borderId="14" xfId="49" applyBorder="1" applyAlignment="1">
      <alignment horizontal="center"/>
    </xf>
    <xf numFmtId="177" fontId="0" fillId="0" borderId="37" xfId="49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177" fontId="23" fillId="37" borderId="11" xfId="49" applyFont="1" applyFill="1" applyBorder="1" applyAlignment="1">
      <alignment horizontal="center"/>
    </xf>
    <xf numFmtId="169" fontId="0" fillId="0" borderId="0" xfId="0" applyNumberFormat="1" applyAlignment="1">
      <alignment/>
    </xf>
    <xf numFmtId="177" fontId="0" fillId="37" borderId="30" xfId="49" applyFill="1" applyBorder="1" applyAlignment="1">
      <alignment horizontal="center"/>
    </xf>
    <xf numFmtId="169" fontId="0" fillId="37" borderId="38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18" fillId="0" borderId="38" xfId="0" applyFont="1" applyBorder="1" applyAlignment="1">
      <alignment horizontal="center"/>
    </xf>
    <xf numFmtId="177" fontId="0" fillId="0" borderId="13" xfId="49" applyBorder="1" applyAlignment="1">
      <alignment horizontal="center"/>
    </xf>
    <xf numFmtId="177" fontId="0" fillId="0" borderId="13" xfId="49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9" fontId="0" fillId="37" borderId="0" xfId="0" applyNumberFormat="1" applyFill="1" applyBorder="1" applyAlignment="1">
      <alignment/>
    </xf>
    <xf numFmtId="169" fontId="0" fillId="37" borderId="39" xfId="0" applyNumberFormat="1" applyFill="1" applyBorder="1" applyAlignment="1">
      <alignment/>
    </xf>
    <xf numFmtId="169" fontId="0" fillId="37" borderId="37" xfId="0" applyNumberFormat="1" applyFill="1" applyBorder="1" applyAlignment="1">
      <alignment horizontal="center"/>
    </xf>
    <xf numFmtId="169" fontId="0" fillId="37" borderId="40" xfId="0" applyNumberFormat="1" applyFill="1" applyBorder="1" applyAlignment="1">
      <alignment/>
    </xf>
    <xf numFmtId="169" fontId="0" fillId="37" borderId="41" xfId="0" applyNumberFormat="1" applyFill="1" applyBorder="1" applyAlignment="1">
      <alignment/>
    </xf>
    <xf numFmtId="169" fontId="0" fillId="37" borderId="42" xfId="0" applyNumberFormat="1" applyFill="1" applyBorder="1" applyAlignment="1">
      <alignment horizontal="center"/>
    </xf>
    <xf numFmtId="169" fontId="0" fillId="37" borderId="43" xfId="0" applyNumberFormat="1" applyFill="1" applyBorder="1" applyAlignment="1">
      <alignment/>
    </xf>
    <xf numFmtId="169" fontId="0" fillId="37" borderId="44" xfId="0" applyNumberFormat="1" applyFill="1" applyBorder="1" applyAlignment="1">
      <alignment/>
    </xf>
    <xf numFmtId="169" fontId="0" fillId="37" borderId="45" xfId="0" applyNumberFormat="1" applyFill="1" applyBorder="1" applyAlignment="1">
      <alignment/>
    </xf>
    <xf numFmtId="169" fontId="0" fillId="37" borderId="46" xfId="0" applyNumberFormat="1" applyFill="1" applyBorder="1" applyAlignment="1">
      <alignment/>
    </xf>
    <xf numFmtId="0" fontId="20" fillId="35" borderId="47" xfId="0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30" xfId="0" applyFont="1" applyBorder="1" applyAlignment="1">
      <alignment/>
    </xf>
    <xf numFmtId="177" fontId="0" fillId="0" borderId="32" xfId="49" applyFont="1" applyBorder="1" applyAlignment="1">
      <alignment horizontal="center"/>
    </xf>
    <xf numFmtId="177" fontId="0" fillId="0" borderId="32" xfId="49" applyBorder="1" applyAlignment="1">
      <alignment horizontal="center"/>
    </xf>
    <xf numFmtId="0" fontId="20" fillId="35" borderId="28" xfId="0" applyFont="1" applyFill="1" applyBorder="1" applyAlignment="1">
      <alignment shrinkToFit="1"/>
    </xf>
    <xf numFmtId="0" fontId="20" fillId="35" borderId="48" xfId="0" applyFont="1" applyFill="1" applyBorder="1" applyAlignment="1">
      <alignment shrinkToFit="1"/>
    </xf>
    <xf numFmtId="0" fontId="20" fillId="35" borderId="49" xfId="0" applyFont="1" applyFill="1" applyBorder="1" applyAlignment="1">
      <alignment shrinkToFit="1"/>
    </xf>
    <xf numFmtId="177" fontId="23" fillId="37" borderId="32" xfId="49" applyFont="1" applyFill="1" applyBorder="1" applyAlignment="1">
      <alignment horizontal="center"/>
    </xf>
    <xf numFmtId="0" fontId="22" fillId="35" borderId="28" xfId="0" applyFont="1" applyFill="1" applyBorder="1" applyAlignment="1">
      <alignment shrinkToFit="1"/>
    </xf>
    <xf numFmtId="0" fontId="22" fillId="35" borderId="48" xfId="0" applyFont="1" applyFill="1" applyBorder="1" applyAlignment="1">
      <alignment shrinkToFit="1"/>
    </xf>
    <xf numFmtId="0" fontId="21" fillId="0" borderId="30" xfId="0" applyFont="1" applyBorder="1" applyAlignment="1">
      <alignment/>
    </xf>
    <xf numFmtId="0" fontId="22" fillId="35" borderId="50" xfId="0" applyFont="1" applyFill="1" applyBorder="1" applyAlignment="1">
      <alignment shrinkToFit="1"/>
    </xf>
    <xf numFmtId="0" fontId="21" fillId="0" borderId="28" xfId="0" applyFont="1" applyBorder="1" applyAlignment="1">
      <alignment/>
    </xf>
    <xf numFmtId="169" fontId="23" fillId="37" borderId="16" xfId="0" applyNumberFormat="1" applyFont="1" applyFill="1" applyBorder="1" applyAlignment="1">
      <alignment/>
    </xf>
    <xf numFmtId="169" fontId="23" fillId="37" borderId="51" xfId="0" applyNumberFormat="1" applyFont="1" applyFill="1" applyBorder="1" applyAlignment="1">
      <alignment/>
    </xf>
    <xf numFmtId="169" fontId="25" fillId="37" borderId="52" xfId="0" applyNumberFormat="1" applyFont="1" applyFill="1" applyBorder="1" applyAlignment="1">
      <alignment/>
    </xf>
    <xf numFmtId="177" fontId="25" fillId="37" borderId="30" xfId="49" applyFont="1" applyFill="1" applyBorder="1" applyAlignment="1">
      <alignment horizontal="center"/>
    </xf>
    <xf numFmtId="177" fontId="23" fillId="37" borderId="12" xfId="49" applyFont="1" applyFill="1" applyBorder="1" applyAlignment="1">
      <alignment horizontal="center"/>
    </xf>
    <xf numFmtId="177" fontId="24" fillId="37" borderId="28" xfId="49" applyFont="1" applyFill="1" applyBorder="1" applyAlignment="1">
      <alignment horizontal="center"/>
    </xf>
    <xf numFmtId="177" fontId="25" fillId="37" borderId="48" xfId="49" applyFont="1" applyFill="1" applyBorder="1" applyAlignment="1">
      <alignment horizontal="center"/>
    </xf>
    <xf numFmtId="177" fontId="24" fillId="37" borderId="48" xfId="49" applyFont="1" applyFill="1" applyBorder="1" applyAlignment="1">
      <alignment horizontal="center"/>
    </xf>
    <xf numFmtId="177" fontId="24" fillId="37" borderId="50" xfId="49" applyFont="1" applyFill="1" applyBorder="1" applyAlignment="1">
      <alignment horizontal="center"/>
    </xf>
    <xf numFmtId="169" fontId="0" fillId="37" borderId="34" xfId="0" applyNumberFormat="1" applyFill="1" applyBorder="1" applyAlignment="1">
      <alignment/>
    </xf>
    <xf numFmtId="169" fontId="0" fillId="37" borderId="36" xfId="0" applyNumberFormat="1" applyFill="1" applyBorder="1" applyAlignment="1">
      <alignment/>
    </xf>
    <xf numFmtId="0" fontId="20" fillId="35" borderId="29" xfId="0" applyFont="1" applyFill="1" applyBorder="1" applyAlignment="1">
      <alignment shrinkToFit="1"/>
    </xf>
    <xf numFmtId="0" fontId="20" fillId="35" borderId="30" xfId="0" applyFont="1" applyFill="1" applyBorder="1" applyAlignment="1">
      <alignment shrinkToFit="1"/>
    </xf>
    <xf numFmtId="177" fontId="0" fillId="0" borderId="12" xfId="49" applyBorder="1" applyAlignment="1">
      <alignment horizontal="center"/>
    </xf>
    <xf numFmtId="177" fontId="0" fillId="37" borderId="28" xfId="49" applyFill="1" applyBorder="1" applyAlignment="1">
      <alignment horizontal="center"/>
    </xf>
    <xf numFmtId="177" fontId="0" fillId="37" borderId="29" xfId="49" applyFill="1" applyBorder="1" applyAlignment="1">
      <alignment horizontal="center"/>
    </xf>
    <xf numFmtId="177" fontId="0" fillId="37" borderId="53" xfId="49" applyFill="1" applyBorder="1" applyAlignment="1">
      <alignment horizontal="center"/>
    </xf>
    <xf numFmtId="177" fontId="0" fillId="37" borderId="32" xfId="49" applyNumberFormat="1" applyFill="1" applyBorder="1" applyAlignment="1">
      <alignment horizontal="center"/>
    </xf>
    <xf numFmtId="0" fontId="20" fillId="35" borderId="0" xfId="0" applyFont="1" applyFill="1" applyBorder="1" applyAlignment="1">
      <alignment shrinkToFit="1"/>
    </xf>
    <xf numFmtId="177" fontId="0" fillId="37" borderId="16" xfId="49" applyNumberFormat="1" applyFill="1" applyBorder="1" applyAlignment="1">
      <alignment horizontal="center"/>
    </xf>
    <xf numFmtId="177" fontId="0" fillId="37" borderId="17" xfId="49" applyNumberFormat="1" applyFill="1" applyBorder="1" applyAlignment="1">
      <alignment horizontal="center"/>
    </xf>
    <xf numFmtId="177" fontId="0" fillId="37" borderId="18" xfId="49" applyNumberFormat="1" applyFill="1" applyBorder="1" applyAlignment="1">
      <alignment horizontal="center"/>
    </xf>
    <xf numFmtId="177" fontId="0" fillId="0" borderId="10" xfId="49" applyBorder="1" applyAlignment="1">
      <alignment horizontal="center"/>
    </xf>
    <xf numFmtId="0" fontId="0" fillId="0" borderId="32" xfId="49" applyNumberFormat="1" applyFont="1" applyBorder="1" applyAlignment="1">
      <alignment horizontal="center"/>
    </xf>
    <xf numFmtId="177" fontId="0" fillId="0" borderId="34" xfId="49" applyFont="1" applyBorder="1" applyAlignment="1">
      <alignment horizontal="center"/>
    </xf>
    <xf numFmtId="177" fontId="0" fillId="0" borderId="54" xfId="49" applyBorder="1" applyAlignment="1">
      <alignment horizontal="center"/>
    </xf>
    <xf numFmtId="177" fontId="23" fillId="37" borderId="13" xfId="49" applyFont="1" applyFill="1" applyBorder="1" applyAlignment="1">
      <alignment horizontal="center"/>
    </xf>
    <xf numFmtId="177" fontId="23" fillId="37" borderId="54" xfId="49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35" borderId="52" xfId="0" applyFont="1" applyFill="1" applyBorder="1" applyAlignment="1">
      <alignment shrinkToFit="1"/>
    </xf>
    <xf numFmtId="177" fontId="0" fillId="35" borderId="13" xfId="49" applyFill="1" applyBorder="1" applyAlignment="1">
      <alignment horizontal="center"/>
    </xf>
    <xf numFmtId="177" fontId="0" fillId="35" borderId="13" xfId="49" applyFont="1" applyFill="1" applyBorder="1" applyAlignment="1">
      <alignment horizontal="center"/>
    </xf>
    <xf numFmtId="177" fontId="0" fillId="35" borderId="31" xfId="49" applyFill="1" applyBorder="1" applyAlignment="1">
      <alignment horizontal="center"/>
    </xf>
    <xf numFmtId="177" fontId="0" fillId="35" borderId="32" xfId="49" applyFill="1" applyBorder="1" applyAlignment="1">
      <alignment horizontal="center"/>
    </xf>
    <xf numFmtId="177" fontId="0" fillId="35" borderId="32" xfId="49" applyFont="1" applyFill="1" applyBorder="1" applyAlignment="1">
      <alignment horizontal="center"/>
    </xf>
    <xf numFmtId="177" fontId="0" fillId="35" borderId="54" xfId="49" applyFill="1" applyBorder="1" applyAlignment="1">
      <alignment horizontal="center"/>
    </xf>
    <xf numFmtId="177" fontId="0" fillId="35" borderId="12" xfId="49" applyFill="1" applyBorder="1" applyAlignment="1">
      <alignment horizontal="center"/>
    </xf>
    <xf numFmtId="177" fontId="0" fillId="0" borderId="31" xfId="49" applyFont="1" applyBorder="1" applyAlignment="1">
      <alignment horizontal="center"/>
    </xf>
    <xf numFmtId="177" fontId="0" fillId="37" borderId="48" xfId="49" applyFill="1" applyBorder="1" applyAlignment="1">
      <alignment horizontal="center"/>
    </xf>
    <xf numFmtId="0" fontId="18" fillId="0" borderId="38" xfId="0" applyFont="1" applyBorder="1" applyAlignment="1">
      <alignment horizontal="center" shrinkToFit="1"/>
    </xf>
    <xf numFmtId="177" fontId="0" fillId="0" borderId="32" xfId="49" applyBorder="1" applyAlignment="1">
      <alignment horizontal="left"/>
    </xf>
    <xf numFmtId="177" fontId="0" fillId="0" borderId="55" xfId="49" applyBorder="1" applyAlignment="1">
      <alignment horizontal="center"/>
    </xf>
    <xf numFmtId="0" fontId="20" fillId="35" borderId="30" xfId="0" applyFont="1" applyFill="1" applyBorder="1" applyAlignment="1">
      <alignment/>
    </xf>
    <xf numFmtId="169" fontId="0" fillId="37" borderId="26" xfId="0" applyNumberFormat="1" applyFill="1" applyBorder="1" applyAlignment="1">
      <alignment/>
    </xf>
    <xf numFmtId="169" fontId="0" fillId="37" borderId="42" xfId="0" applyNumberFormat="1" applyFill="1" applyBorder="1" applyAlignment="1">
      <alignment/>
    </xf>
    <xf numFmtId="0" fontId="0" fillId="0" borderId="13" xfId="49" applyNumberFormat="1" applyBorder="1" applyAlignment="1">
      <alignment horizontal="center"/>
    </xf>
    <xf numFmtId="177" fontId="0" fillId="37" borderId="39" xfId="49" applyNumberFormat="1" applyFill="1" applyBorder="1" applyAlignment="1">
      <alignment horizontal="center"/>
    </xf>
    <xf numFmtId="0" fontId="0" fillId="37" borderId="25" xfId="49" applyNumberFormat="1" applyFill="1" applyBorder="1" applyAlignment="1">
      <alignment horizontal="center"/>
    </xf>
    <xf numFmtId="169" fontId="0" fillId="37" borderId="56" xfId="0" applyNumberFormat="1" applyFill="1" applyBorder="1" applyAlignment="1">
      <alignment/>
    </xf>
    <xf numFmtId="177" fontId="23" fillId="37" borderId="34" xfId="49" applyFont="1" applyFill="1" applyBorder="1" applyAlignment="1">
      <alignment horizontal="center"/>
    </xf>
    <xf numFmtId="169" fontId="23" fillId="37" borderId="18" xfId="0" applyNumberFormat="1" applyFont="1" applyFill="1" applyBorder="1" applyAlignment="1">
      <alignment/>
    </xf>
    <xf numFmtId="169" fontId="23" fillId="37" borderId="57" xfId="0" applyNumberFormat="1" applyFont="1" applyFill="1" applyBorder="1" applyAlignment="1">
      <alignment/>
    </xf>
    <xf numFmtId="169" fontId="23" fillId="37" borderId="21" xfId="0" applyNumberFormat="1" applyFont="1" applyFill="1" applyBorder="1" applyAlignment="1">
      <alignment/>
    </xf>
    <xf numFmtId="169" fontId="23" fillId="37" borderId="23" xfId="0" applyNumberFormat="1" applyFont="1" applyFill="1" applyBorder="1" applyAlignment="1">
      <alignment/>
    </xf>
    <xf numFmtId="0" fontId="21" fillId="0" borderId="38" xfId="0" applyFont="1" applyBorder="1" applyAlignment="1">
      <alignment horizontal="center"/>
    </xf>
    <xf numFmtId="177" fontId="23" fillId="37" borderId="31" xfId="49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0" fillId="33" borderId="11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37" borderId="0" xfId="0" applyFill="1" applyBorder="1" applyAlignment="1">
      <alignment horizontal="center"/>
    </xf>
    <xf numFmtId="3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7" borderId="33" xfId="0" applyNumberFormat="1" applyFill="1" applyBorder="1" applyAlignment="1">
      <alignment horizontal="center"/>
    </xf>
    <xf numFmtId="3" fontId="13" fillId="0" borderId="42" xfId="53" applyNumberFormat="1" applyFont="1" applyBorder="1">
      <alignment/>
      <protection/>
    </xf>
    <xf numFmtId="0" fontId="16" fillId="0" borderId="11" xfId="53" applyFont="1" applyFill="1" applyBorder="1" applyAlignment="1">
      <alignment horizontal="center"/>
      <protection/>
    </xf>
    <xf numFmtId="0" fontId="16" fillId="35" borderId="11" xfId="53" applyFont="1" applyFill="1" applyBorder="1" applyAlignment="1">
      <alignment horizontal="center"/>
      <protection/>
    </xf>
    <xf numFmtId="3" fontId="11" fillId="0" borderId="11" xfId="53" applyNumberFormat="1" applyFont="1" applyFill="1" applyBorder="1">
      <alignment/>
      <protection/>
    </xf>
    <xf numFmtId="3" fontId="11" fillId="35" borderId="11" xfId="53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11" fillId="0" borderId="14" xfId="53" applyNumberFormat="1" applyFont="1" applyFill="1" applyBorder="1">
      <alignment/>
      <protection/>
    </xf>
    <xf numFmtId="3" fontId="11" fillId="35" borderId="14" xfId="53" applyNumberFormat="1" applyFont="1" applyFill="1" applyBorder="1">
      <alignment/>
      <protection/>
    </xf>
    <xf numFmtId="3" fontId="13" fillId="0" borderId="27" xfId="53" applyNumberFormat="1" applyFont="1" applyFill="1" applyBorder="1">
      <alignment/>
      <protection/>
    </xf>
    <xf numFmtId="3" fontId="13" fillId="0" borderId="27" xfId="53" applyNumberFormat="1" applyFont="1" applyFill="1" applyBorder="1">
      <alignment/>
      <protection/>
    </xf>
    <xf numFmtId="3" fontId="13" fillId="35" borderId="27" xfId="53" applyNumberFormat="1" applyFont="1" applyFill="1" applyBorder="1">
      <alignment/>
      <protection/>
    </xf>
    <xf numFmtId="3" fontId="13" fillId="35" borderId="27" xfId="53" applyNumberFormat="1" applyFont="1" applyFill="1" applyBorder="1">
      <alignment/>
      <protection/>
    </xf>
    <xf numFmtId="3" fontId="13" fillId="0" borderId="27" xfId="53" applyNumberFormat="1" applyFont="1" applyBorder="1">
      <alignment/>
      <protection/>
    </xf>
    <xf numFmtId="3" fontId="13" fillId="0" borderId="42" xfId="53" applyNumberFormat="1" applyFont="1" applyBorder="1">
      <alignment/>
      <protection/>
    </xf>
    <xf numFmtId="0" fontId="13" fillId="0" borderId="0" xfId="53" applyFont="1" applyFill="1" applyBorder="1">
      <alignment/>
      <protection/>
    </xf>
    <xf numFmtId="0" fontId="13" fillId="35" borderId="0" xfId="53" applyFont="1" applyFill="1" applyBorder="1">
      <alignment/>
      <protection/>
    </xf>
    <xf numFmtId="0" fontId="11" fillId="0" borderId="0" xfId="53" applyFont="1" applyFill="1">
      <alignment/>
      <protection/>
    </xf>
    <xf numFmtId="0" fontId="11" fillId="35" borderId="0" xfId="53" applyFont="1" applyFill="1">
      <alignment/>
      <protection/>
    </xf>
    <xf numFmtId="0" fontId="0" fillId="35" borderId="0" xfId="0" applyFill="1" applyAlignment="1">
      <alignment/>
    </xf>
    <xf numFmtId="0" fontId="20" fillId="0" borderId="0" xfId="0" applyFont="1" applyAlignment="1">
      <alignment/>
    </xf>
    <xf numFmtId="0" fontId="18" fillId="38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17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center"/>
    </xf>
    <xf numFmtId="177" fontId="1" fillId="37" borderId="11" xfId="49" applyFont="1" applyFill="1" applyBorder="1" applyAlignment="1">
      <alignment shrinkToFit="1"/>
    </xf>
    <xf numFmtId="0" fontId="17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7" fontId="0" fillId="0" borderId="11" xfId="0" applyNumberFormat="1" applyFill="1" applyBorder="1" applyAlignment="1">
      <alignment/>
    </xf>
    <xf numFmtId="177" fontId="0" fillId="0" borderId="11" xfId="49" applyFont="1" applyFill="1" applyBorder="1" applyAlignment="1">
      <alignment shrinkToFit="1"/>
    </xf>
    <xf numFmtId="3" fontId="0" fillId="0" borderId="59" xfId="0" applyNumberForma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37" borderId="33" xfId="0" applyNumberFormat="1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177" fontId="1" fillId="40" borderId="11" xfId="49" applyFont="1" applyFill="1" applyBorder="1" applyAlignment="1">
      <alignment shrinkToFit="1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77" fontId="0" fillId="41" borderId="11" xfId="49" applyFont="1" applyFill="1" applyBorder="1" applyAlignment="1">
      <alignment shrinkToFit="1"/>
    </xf>
    <xf numFmtId="3" fontId="11" fillId="0" borderId="11" xfId="53" applyNumberFormat="1" applyFont="1" applyFill="1" applyBorder="1">
      <alignment/>
      <protection/>
    </xf>
    <xf numFmtId="3" fontId="11" fillId="35" borderId="11" xfId="53" applyNumberFormat="1" applyFont="1" applyFill="1" applyBorder="1">
      <alignment/>
      <protection/>
    </xf>
    <xf numFmtId="3" fontId="11" fillId="0" borderId="11" xfId="53" applyNumberFormat="1" applyFont="1" applyBorder="1">
      <alignment/>
      <protection/>
    </xf>
    <xf numFmtId="3" fontId="11" fillId="0" borderId="14" xfId="53" applyNumberFormat="1" applyFont="1" applyFill="1" applyBorder="1">
      <alignment/>
      <protection/>
    </xf>
    <xf numFmtId="3" fontId="11" fillId="35" borderId="14" xfId="53" applyNumberFormat="1" applyFont="1" applyFill="1" applyBorder="1">
      <alignment/>
      <protection/>
    </xf>
    <xf numFmtId="3" fontId="11" fillId="0" borderId="14" xfId="53" applyNumberFormat="1" applyFont="1" applyBorder="1">
      <alignment/>
      <protection/>
    </xf>
    <xf numFmtId="0" fontId="13" fillId="0" borderId="38" xfId="53" applyFont="1" applyBorder="1" applyAlignment="1">
      <alignment horizontal="center"/>
      <protection/>
    </xf>
    <xf numFmtId="0" fontId="13" fillId="0" borderId="37" xfId="53" applyFont="1" applyBorder="1" applyAlignment="1">
      <alignment horizontal="center"/>
      <protection/>
    </xf>
    <xf numFmtId="0" fontId="13" fillId="0" borderId="36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15" fillId="35" borderId="13" xfId="53" applyFont="1" applyFill="1" applyBorder="1" applyAlignment="1">
      <alignment horizontal="center"/>
      <protection/>
    </xf>
    <xf numFmtId="0" fontId="13" fillId="0" borderId="45" xfId="53" applyFont="1" applyBorder="1" applyAlignment="1">
      <alignment horizontal="center"/>
      <protection/>
    </xf>
    <xf numFmtId="0" fontId="13" fillId="0" borderId="40" xfId="53" applyFont="1" applyBorder="1" applyAlignment="1">
      <alignment horizontal="center" vertical="center"/>
      <protection/>
    </xf>
    <xf numFmtId="0" fontId="13" fillId="0" borderId="13" xfId="53" applyFont="1" applyBorder="1" applyAlignment="1">
      <alignment horizontal="center" vertical="center"/>
      <protection/>
    </xf>
    <xf numFmtId="0" fontId="15" fillId="0" borderId="51" xfId="53" applyFont="1" applyFill="1" applyBorder="1" applyAlignment="1">
      <alignment horizontal="center"/>
      <protection/>
    </xf>
    <xf numFmtId="0" fontId="15" fillId="0" borderId="57" xfId="53" applyFont="1" applyFill="1" applyBorder="1" applyAlignment="1">
      <alignment horizontal="center"/>
      <protection/>
    </xf>
    <xf numFmtId="0" fontId="15" fillId="35" borderId="51" xfId="53" applyFont="1" applyFill="1" applyBorder="1" applyAlignment="1">
      <alignment horizontal="center"/>
      <protection/>
    </xf>
    <xf numFmtId="0" fontId="15" fillId="35" borderId="57" xfId="53" applyFont="1" applyFill="1" applyBorder="1" applyAlignment="1">
      <alignment horizontal="center"/>
      <protection/>
    </xf>
    <xf numFmtId="0" fontId="15" fillId="0" borderId="43" xfId="53" applyFont="1" applyBorder="1" applyAlignment="1">
      <alignment horizontal="center"/>
      <protection/>
    </xf>
    <xf numFmtId="0" fontId="15" fillId="0" borderId="56" xfId="53" applyFont="1" applyBorder="1" applyAlignment="1">
      <alignment horizontal="center"/>
      <protection/>
    </xf>
    <xf numFmtId="177" fontId="0" fillId="41" borderId="11" xfId="49" applyFont="1" applyFill="1" applyBorder="1" applyAlignment="1">
      <alignment shrinkToFit="1"/>
    </xf>
    <xf numFmtId="49" fontId="1" fillId="0" borderId="11" xfId="0" applyNumberFormat="1" applyFont="1" applyBorder="1" applyAlignment="1">
      <alignment horizontal="center"/>
    </xf>
    <xf numFmtId="49" fontId="0" fillId="37" borderId="33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18" fillId="0" borderId="11" xfId="0" applyFont="1" applyBorder="1" applyAlignment="1">
      <alignment/>
    </xf>
    <xf numFmtId="177" fontId="0" fillId="0" borderId="16" xfId="49" applyBorder="1" applyAlignment="1">
      <alignment horizontal="center"/>
    </xf>
    <xf numFmtId="177" fontId="0" fillId="0" borderId="17" xfId="49" applyFont="1" applyBorder="1" applyAlignment="1">
      <alignment horizontal="center"/>
    </xf>
    <xf numFmtId="177" fontId="0" fillId="0" borderId="17" xfId="49" applyBorder="1" applyAlignment="1">
      <alignment horizontal="center"/>
    </xf>
    <xf numFmtId="177" fontId="0" fillId="0" borderId="18" xfId="49" applyBorder="1" applyAlignment="1">
      <alignment horizontal="center"/>
    </xf>
    <xf numFmtId="177" fontId="0" fillId="0" borderId="62" xfId="49" applyBorder="1" applyAlignment="1">
      <alignment horizontal="center"/>
    </xf>
    <xf numFmtId="177" fontId="0" fillId="0" borderId="63" xfId="49" applyBorder="1" applyAlignment="1">
      <alignment horizontal="center"/>
    </xf>
    <xf numFmtId="177" fontId="0" fillId="0" borderId="19" xfId="49" applyFont="1" applyBorder="1" applyAlignment="1">
      <alignment horizontal="center"/>
    </xf>
    <xf numFmtId="177" fontId="0" fillId="0" borderId="20" xfId="49" applyBorder="1" applyAlignment="1">
      <alignment horizontal="center"/>
    </xf>
    <xf numFmtId="177" fontId="0" fillId="0" borderId="19" xfId="49" applyBorder="1" applyAlignment="1">
      <alignment horizontal="center"/>
    </xf>
    <xf numFmtId="177" fontId="0" fillId="0" borderId="21" xfId="49" applyFont="1" applyBorder="1" applyAlignment="1">
      <alignment horizontal="center"/>
    </xf>
    <xf numFmtId="177" fontId="0" fillId="0" borderId="22" xfId="49" applyBorder="1" applyAlignment="1">
      <alignment horizontal="center"/>
    </xf>
    <xf numFmtId="0" fontId="0" fillId="0" borderId="22" xfId="49" applyNumberFormat="1" applyBorder="1" applyAlignment="1">
      <alignment horizontal="center"/>
    </xf>
    <xf numFmtId="177" fontId="0" fillId="0" borderId="23" xfId="49" applyBorder="1" applyAlignment="1">
      <alignment horizontal="center"/>
    </xf>
    <xf numFmtId="169" fontId="23" fillId="37" borderId="64" xfId="0" applyNumberFormat="1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69" fontId="0" fillId="37" borderId="38" xfId="0" applyNumberFormat="1" applyFill="1" applyBorder="1" applyAlignment="1">
      <alignment horizontal="center"/>
    </xf>
    <xf numFmtId="169" fontId="0" fillId="37" borderId="36" xfId="0" applyNumberFormat="1" applyFill="1" applyBorder="1" applyAlignment="1">
      <alignment horizontal="center"/>
    </xf>
    <xf numFmtId="169" fontId="23" fillId="37" borderId="66" xfId="0" applyNumberFormat="1" applyFont="1" applyFill="1" applyBorder="1" applyAlignment="1">
      <alignment horizontal="center"/>
    </xf>
    <xf numFmtId="169" fontId="23" fillId="37" borderId="67" xfId="0" applyNumberFormat="1" applyFont="1" applyFill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69" fontId="0" fillId="37" borderId="37" xfId="0" applyNumberFormat="1" applyFill="1" applyBorder="1" applyAlignment="1">
      <alignment horizontal="center"/>
    </xf>
    <xf numFmtId="169" fontId="0" fillId="37" borderId="37" xfId="0" applyNumberFormat="1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496175"/>
          <a:ext cx="714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%20%2012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OLAR\MEMORIA\2006-2007\Original%20MEMORIA%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 de participación"/>
      <sheetName val="Por Municipios"/>
      <sheetName val="ZONAS, x depor,cat. y mun."/>
      <sheetName val="Comparativo Zonas "/>
      <sheetName val="Aviles"/>
      <sheetName val="Caudal"/>
      <sheetName val="Gijon"/>
      <sheetName val="Grado"/>
      <sheetName val="Nalon"/>
      <sheetName val="Cuenca Navia"/>
      <sheetName val="Oscos Eo"/>
      <sheetName val="Occidente Sur"/>
      <sheetName val="Oriente"/>
      <sheetName val="Oviedo"/>
      <sheetName val="Siero"/>
      <sheetName val="Particip.Futbol"/>
      <sheetName val="Equipos por categorias "/>
      <sheetName val="Equipos"/>
      <sheetName val="Por  deportes ,categoría y muni"/>
      <sheetName val="VINC x Deportes y Categorias"/>
      <sheetName val="Comparativo por deportes"/>
      <sheetName val="CARÁTULA DE CTOS. DE ESPAÑA"/>
      <sheetName val="CTO. ESPAÑA BCESTO ADAPT."/>
      <sheetName val="CTO.ESPAÑA BCESTO CAD"/>
      <sheetName val="CTO. CAMPO A TRAVES CA.JU."/>
      <sheetName val="CTO. ESPAÑA BCESTO INF."/>
      <sheetName val="CTO. ESPAÑA JUDO"/>
      <sheetName val="CTO. ESPAÑA CICLISMO BTT"/>
      <sheetName val="CTO ESPAÑA VOLEY PLAYA"/>
      <sheetName val="CTO ESPAÑA ATL.CAD"/>
      <sheetName val="CTO.ESPAÑA ORIENT"/>
      <sheetName val="CTO ESPAÑA TRIATLÓN"/>
      <sheetName val="CTO.ESPAÑA BMANO CAD"/>
      <sheetName val="CTO.ESPAÑA BADMINTON"/>
      <sheetName val="CTO ESPAÑA VOLEIBOL"/>
      <sheetName val="CTO.ESPAÑA CICLISMO RUTA"/>
    </sheetNames>
    <sheetDataSet>
      <sheetData sheetId="2">
        <row r="14">
          <cell r="AH14">
            <v>3547</v>
          </cell>
        </row>
        <row r="88">
          <cell r="AH88">
            <v>1798</v>
          </cell>
        </row>
        <row r="116">
          <cell r="AH116">
            <v>10019</v>
          </cell>
        </row>
        <row r="120">
          <cell r="B120">
            <v>1028</v>
          </cell>
        </row>
        <row r="121">
          <cell r="B121">
            <v>772</v>
          </cell>
        </row>
        <row r="123">
          <cell r="B123">
            <v>797</v>
          </cell>
        </row>
        <row r="124">
          <cell r="B124">
            <v>1571</v>
          </cell>
        </row>
        <row r="125">
          <cell r="B125">
            <v>2182</v>
          </cell>
        </row>
        <row r="127">
          <cell r="B127">
            <v>712</v>
          </cell>
        </row>
        <row r="128">
          <cell r="B128">
            <v>9302</v>
          </cell>
        </row>
        <row r="129">
          <cell r="B129">
            <v>3086</v>
          </cell>
        </row>
      </sheetData>
      <sheetData sheetId="4">
        <row r="13">
          <cell r="AH13">
            <v>3547</v>
          </cell>
        </row>
        <row r="17">
          <cell r="B17">
            <v>2334</v>
          </cell>
        </row>
        <row r="18">
          <cell r="B18">
            <v>331</v>
          </cell>
        </row>
        <row r="19">
          <cell r="B19">
            <v>440</v>
          </cell>
        </row>
        <row r="20">
          <cell r="B20">
            <v>34</v>
          </cell>
        </row>
        <row r="21">
          <cell r="B21">
            <v>214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</v>
          </cell>
        </row>
        <row r="25">
          <cell r="B25">
            <v>52</v>
          </cell>
        </row>
      </sheetData>
      <sheetData sheetId="5">
        <row r="3">
          <cell r="AI3">
            <v>89</v>
          </cell>
        </row>
        <row r="6">
          <cell r="AI6">
            <v>1028</v>
          </cell>
        </row>
        <row r="9">
          <cell r="C9">
            <v>181</v>
          </cell>
        </row>
        <row r="10">
          <cell r="C10">
            <v>760</v>
          </cell>
        </row>
      </sheetData>
      <sheetData sheetId="6">
        <row r="6">
          <cell r="AH6">
            <v>10019</v>
          </cell>
        </row>
        <row r="8">
          <cell r="B8">
            <v>519</v>
          </cell>
        </row>
        <row r="9">
          <cell r="B9">
            <v>9331</v>
          </cell>
        </row>
        <row r="10">
          <cell r="B10">
            <v>169</v>
          </cell>
        </row>
      </sheetData>
      <sheetData sheetId="7">
        <row r="13">
          <cell r="AH13">
            <v>797</v>
          </cell>
        </row>
        <row r="15">
          <cell r="B15">
            <v>30</v>
          </cell>
        </row>
        <row r="16">
          <cell r="B16">
            <v>61</v>
          </cell>
        </row>
        <row r="17">
          <cell r="B17">
            <v>429</v>
          </cell>
        </row>
        <row r="18">
          <cell r="B18">
            <v>25</v>
          </cell>
        </row>
        <row r="19">
          <cell r="B19">
            <v>4</v>
          </cell>
        </row>
        <row r="20">
          <cell r="B20">
            <v>204</v>
          </cell>
        </row>
        <row r="21">
          <cell r="B21">
            <v>0</v>
          </cell>
        </row>
        <row r="22">
          <cell r="B22">
            <v>39</v>
          </cell>
        </row>
        <row r="23">
          <cell r="B23">
            <v>5</v>
          </cell>
        </row>
        <row r="24">
          <cell r="B24">
            <v>0</v>
          </cell>
        </row>
      </sheetData>
      <sheetData sheetId="8">
        <row r="8">
          <cell r="AH8">
            <v>1571</v>
          </cell>
        </row>
        <row r="10">
          <cell r="B10">
            <v>0</v>
          </cell>
        </row>
        <row r="11">
          <cell r="B11">
            <v>714</v>
          </cell>
        </row>
        <row r="12">
          <cell r="B12">
            <v>495</v>
          </cell>
        </row>
        <row r="13">
          <cell r="B13">
            <v>362</v>
          </cell>
        </row>
        <row r="14">
          <cell r="B14">
            <v>0</v>
          </cell>
        </row>
      </sheetData>
      <sheetData sheetId="9">
        <row r="9">
          <cell r="AH9">
            <v>772</v>
          </cell>
        </row>
        <row r="13">
          <cell r="B13">
            <v>58</v>
          </cell>
        </row>
        <row r="14">
          <cell r="B14">
            <v>110</v>
          </cell>
        </row>
        <row r="15">
          <cell r="B15">
            <v>0</v>
          </cell>
        </row>
        <row r="16">
          <cell r="B16">
            <v>302</v>
          </cell>
        </row>
        <row r="17">
          <cell r="B17">
            <v>290</v>
          </cell>
        </row>
        <row r="18">
          <cell r="B18">
            <v>12</v>
          </cell>
        </row>
      </sheetData>
      <sheetData sheetId="10">
        <row r="13">
          <cell r="AH13">
            <v>712</v>
          </cell>
        </row>
        <row r="17">
          <cell r="B17">
            <v>165</v>
          </cell>
        </row>
        <row r="18">
          <cell r="B18">
            <v>73</v>
          </cell>
        </row>
        <row r="19">
          <cell r="B19">
            <v>0</v>
          </cell>
        </row>
        <row r="20">
          <cell r="B20">
            <v>6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122</v>
          </cell>
        </row>
        <row r="24">
          <cell r="B24">
            <v>28</v>
          </cell>
        </row>
        <row r="25">
          <cell r="B25">
            <v>318</v>
          </cell>
        </row>
        <row r="26">
          <cell r="B26">
            <v>0</v>
          </cell>
        </row>
      </sheetData>
      <sheetData sheetId="11">
        <row r="3">
          <cell r="AH3">
            <v>119</v>
          </cell>
        </row>
        <row r="8">
          <cell r="AH8">
            <v>2182</v>
          </cell>
        </row>
        <row r="11">
          <cell r="B11">
            <v>1361</v>
          </cell>
        </row>
        <row r="12">
          <cell r="B12">
            <v>107</v>
          </cell>
        </row>
        <row r="13">
          <cell r="B13">
            <v>71</v>
          </cell>
        </row>
        <row r="14">
          <cell r="B14">
            <v>524</v>
          </cell>
        </row>
      </sheetData>
      <sheetData sheetId="12">
        <row r="14">
          <cell r="AH14">
            <v>1798</v>
          </cell>
        </row>
        <row r="16">
          <cell r="B16">
            <v>0</v>
          </cell>
        </row>
        <row r="17">
          <cell r="B17">
            <v>126</v>
          </cell>
        </row>
        <row r="18">
          <cell r="B18">
            <v>336</v>
          </cell>
        </row>
        <row r="19">
          <cell r="B19">
            <v>522</v>
          </cell>
        </row>
        <row r="20">
          <cell r="B20">
            <v>44</v>
          </cell>
        </row>
        <row r="21">
          <cell r="B21">
            <v>373</v>
          </cell>
        </row>
        <row r="22">
          <cell r="B22">
            <v>0</v>
          </cell>
        </row>
        <row r="23">
          <cell r="B23">
            <v>58</v>
          </cell>
        </row>
        <row r="24">
          <cell r="B24">
            <v>0</v>
          </cell>
        </row>
        <row r="25">
          <cell r="B25">
            <v>10</v>
          </cell>
        </row>
        <row r="26">
          <cell r="B26">
            <v>329</v>
          </cell>
        </row>
      </sheetData>
      <sheetData sheetId="13">
        <row r="9">
          <cell r="AH9">
            <v>9302</v>
          </cell>
        </row>
        <row r="11">
          <cell r="B11">
            <v>0</v>
          </cell>
        </row>
        <row r="12">
          <cell r="B12">
            <v>333</v>
          </cell>
        </row>
        <row r="13">
          <cell r="B13">
            <v>64</v>
          </cell>
        </row>
        <row r="14">
          <cell r="B14">
            <v>8868</v>
          </cell>
        </row>
        <row r="15">
          <cell r="B15">
            <v>0</v>
          </cell>
        </row>
        <row r="16">
          <cell r="B16">
            <v>37</v>
          </cell>
        </row>
      </sheetData>
      <sheetData sheetId="14">
        <row r="12">
          <cell r="AH12">
            <v>3086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25</v>
          </cell>
        </row>
        <row r="18">
          <cell r="B18">
            <v>869</v>
          </cell>
        </row>
        <row r="19">
          <cell r="B19">
            <v>304</v>
          </cell>
        </row>
        <row r="20">
          <cell r="B20">
            <v>97</v>
          </cell>
        </row>
        <row r="21">
          <cell r="B21">
            <v>0</v>
          </cell>
        </row>
        <row r="22">
          <cell r="B22">
            <v>1791</v>
          </cell>
        </row>
      </sheetData>
      <sheetData sheetId="19">
        <row r="5">
          <cell r="O5">
            <v>757</v>
          </cell>
        </row>
        <row r="6">
          <cell r="O6">
            <v>4121</v>
          </cell>
        </row>
        <row r="7">
          <cell r="O7">
            <v>655</v>
          </cell>
        </row>
        <row r="8">
          <cell r="O8">
            <v>3408</v>
          </cell>
        </row>
        <row r="9">
          <cell r="O9">
            <v>1721</v>
          </cell>
        </row>
        <row r="10">
          <cell r="O10">
            <v>134</v>
          </cell>
        </row>
        <row r="11">
          <cell r="O11">
            <v>251</v>
          </cell>
        </row>
        <row r="12">
          <cell r="O12">
            <v>5478</v>
          </cell>
        </row>
        <row r="13">
          <cell r="O13">
            <v>190</v>
          </cell>
        </row>
        <row r="14">
          <cell r="O14">
            <v>114</v>
          </cell>
        </row>
        <row r="15">
          <cell r="O15">
            <v>8580</v>
          </cell>
        </row>
        <row r="16">
          <cell r="O16">
            <v>0</v>
          </cell>
        </row>
        <row r="17">
          <cell r="O17">
            <v>2381</v>
          </cell>
        </row>
        <row r="18">
          <cell r="O18">
            <v>290</v>
          </cell>
        </row>
        <row r="19">
          <cell r="O19">
            <v>82</v>
          </cell>
        </row>
        <row r="20">
          <cell r="O20">
            <v>155</v>
          </cell>
        </row>
        <row r="21">
          <cell r="O21">
            <v>65</v>
          </cell>
        </row>
        <row r="22">
          <cell r="O22">
            <v>354</v>
          </cell>
        </row>
        <row r="23">
          <cell r="O23">
            <v>65</v>
          </cell>
        </row>
        <row r="24">
          <cell r="O24">
            <v>754</v>
          </cell>
        </row>
        <row r="25">
          <cell r="O25">
            <v>429</v>
          </cell>
        </row>
        <row r="26">
          <cell r="O26">
            <v>394</v>
          </cell>
        </row>
        <row r="27">
          <cell r="O27">
            <v>299</v>
          </cell>
        </row>
        <row r="28">
          <cell r="O28">
            <v>1017</v>
          </cell>
        </row>
        <row r="29">
          <cell r="O29">
            <v>247</v>
          </cell>
        </row>
        <row r="30">
          <cell r="O30">
            <v>62</v>
          </cell>
        </row>
        <row r="31">
          <cell r="O31">
            <v>283</v>
          </cell>
        </row>
        <row r="32">
          <cell r="O32">
            <v>412</v>
          </cell>
        </row>
        <row r="33">
          <cell r="O33">
            <v>86</v>
          </cell>
        </row>
        <row r="34">
          <cell r="O34">
            <v>96</v>
          </cell>
        </row>
        <row r="35">
          <cell r="O35">
            <v>992</v>
          </cell>
        </row>
        <row r="36">
          <cell r="O36">
            <v>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s para introducir datos"/>
      <sheetName val="Carátula de participación"/>
      <sheetName val="Por Municipios"/>
      <sheetName val="ZONAS, x depor. y mun."/>
      <sheetName val="Comparativo Zonas "/>
      <sheetName val="Aviles"/>
      <sheetName val="Caudal"/>
      <sheetName val="Gijon"/>
      <sheetName val="Grado"/>
      <sheetName val="Nalon"/>
      <sheetName val="Cuenca Navia"/>
      <sheetName val="Oscos Eo"/>
      <sheetName val="Occidente Sur"/>
      <sheetName val="Oriente"/>
      <sheetName val="Oviedo"/>
      <sheetName val="C.Sidra"/>
      <sheetName val="Equipos por categorias "/>
      <sheetName val="Equipos"/>
      <sheetName val="VINC x Deportes y Categorias"/>
      <sheetName val="Comparativo por deportes"/>
      <sheetName val="CARÁTULA DE CTOS. DE ESPAÑA"/>
      <sheetName val="FASE SECTOR FÚTBOL"/>
      <sheetName val="AJEDREZ.BADMINTON.T. MESA-ORIEN"/>
      <sheetName val="CTO España Atletismo Cad.Juv."/>
      <sheetName val="CTO ESPAÑA BALONMANO"/>
      <sheetName val="CAMPO A TRAVES CADETE.JUVENIL"/>
      <sheetName val="CTO ESPAÑA CICLISMO"/>
      <sheetName val="CTO ESPAÑA JUDO"/>
      <sheetName val="CTO. ESPAÑA BALONCESTO"/>
      <sheetName val="CTO ESPAÑA GIMNASIA RÍTMICA"/>
      <sheetName val="CTO ESPAÑA NATACIÓN"/>
      <sheetName val="CTO ESPAÑA TRIATLÓN"/>
      <sheetName val="CTO ESPAÑA VOLEIBOL"/>
      <sheetName val="CTO ESPAÑA VOLEY PLAYA"/>
      <sheetName val="Particip.Futbol"/>
      <sheetName val="Por  deportes ,categoría y muni"/>
    </sheetNames>
    <sheetDataSet>
      <sheetData sheetId="7">
        <row r="6">
          <cell r="AD6">
            <v>8512</v>
          </cell>
        </row>
      </sheetData>
      <sheetData sheetId="11">
        <row r="13">
          <cell r="AA13">
            <v>884</v>
          </cell>
        </row>
      </sheetData>
      <sheetData sheetId="12">
        <row r="8">
          <cell r="Y8">
            <v>2035</v>
          </cell>
        </row>
      </sheetData>
      <sheetData sheetId="14">
        <row r="9">
          <cell r="AB9">
            <v>7609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51"/>
  <sheetViews>
    <sheetView zoomScalePageLayoutView="0" workbookViewId="0" topLeftCell="A7">
      <selection activeCell="A17" sqref="A17"/>
    </sheetView>
  </sheetViews>
  <sheetFormatPr defaultColWidth="12" defaultRowHeight="13.5"/>
  <cols>
    <col min="1" max="1" width="102.83203125" style="0" customWidth="1"/>
  </cols>
  <sheetData>
    <row r="10" ht="20.25">
      <c r="A10" s="1" t="s">
        <v>0</v>
      </c>
    </row>
    <row r="11" ht="18">
      <c r="A11" s="2"/>
    </row>
    <row r="12" ht="20.25">
      <c r="A12" s="1" t="s">
        <v>244</v>
      </c>
    </row>
    <row r="13" ht="18">
      <c r="A13" s="2"/>
    </row>
    <row r="14" ht="20.25">
      <c r="A14" s="1" t="s">
        <v>1</v>
      </c>
    </row>
    <row r="15" ht="18">
      <c r="A15" s="2"/>
    </row>
    <row r="16" ht="18">
      <c r="A16" s="2"/>
    </row>
    <row r="17" ht="13.5">
      <c r="A17" s="3"/>
    </row>
    <row r="18" ht="13.5">
      <c r="A18" s="3"/>
    </row>
    <row r="19" ht="13.5">
      <c r="A19" s="3"/>
    </row>
    <row r="20" ht="13.5">
      <c r="A20" s="3"/>
    </row>
    <row r="21" ht="13.5">
      <c r="A21" s="3"/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  <row r="31" ht="13.5">
      <c r="A31" s="3"/>
    </row>
    <row r="32" ht="13.5">
      <c r="A32" s="3"/>
    </row>
    <row r="49" ht="18">
      <c r="A49" s="2"/>
    </row>
    <row r="50" ht="18">
      <c r="A50" s="2"/>
    </row>
    <row r="51" ht="18">
      <c r="A51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43"/>
  <sheetViews>
    <sheetView view="pageBreakPreview" zoomScaleNormal="75" zoomScaleSheetLayoutView="100" zoomScalePageLayoutView="0" workbookViewId="0" topLeftCell="B1">
      <pane xSplit="1" ySplit="2" topLeftCell="C1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S40" sqref="S40"/>
    </sheetView>
  </sheetViews>
  <sheetFormatPr defaultColWidth="12" defaultRowHeight="13.5"/>
  <cols>
    <col min="1" max="1" width="5.83203125" style="0" hidden="1" customWidth="1"/>
    <col min="2" max="2" width="12.5" style="0" customWidth="1"/>
    <col min="3" max="3" width="14.33203125" style="0" customWidth="1"/>
    <col min="4" max="4" width="19.5" style="0" bestFit="1" customWidth="1"/>
    <col min="5" max="5" width="12.33203125" style="0" bestFit="1" customWidth="1"/>
    <col min="6" max="6" width="13.5" style="0" bestFit="1" customWidth="1"/>
    <col min="7" max="7" width="16" style="0" bestFit="1" customWidth="1"/>
    <col min="8" max="8" width="13.5" style="0" bestFit="1" customWidth="1"/>
    <col min="11" max="11" width="14.66015625" style="0" customWidth="1"/>
    <col min="15" max="15" width="16.83203125" style="0" customWidth="1"/>
    <col min="16" max="16" width="15.16015625" style="0" customWidth="1"/>
    <col min="17" max="17" width="14" style="0" bestFit="1" customWidth="1"/>
    <col min="21" max="21" width="12.83203125" style="0" bestFit="1" customWidth="1"/>
    <col min="23" max="23" width="10.66015625" style="0" customWidth="1"/>
    <col min="28" max="28" width="12.5" style="0" customWidth="1"/>
    <col min="29" max="29" width="17.33203125" style="0" bestFit="1" customWidth="1"/>
    <col min="30" max="30" width="18.66015625" style="0" bestFit="1" customWidth="1"/>
    <col min="32" max="32" width="11" style="0" bestFit="1" customWidth="1"/>
    <col min="33" max="33" width="12.33203125" style="0" bestFit="1" customWidth="1"/>
    <col min="34" max="38" width="12.33203125" style="0" customWidth="1"/>
    <col min="42" max="42" width="14" style="0" bestFit="1" customWidth="1"/>
    <col min="45" max="45" width="14" style="0" bestFit="1" customWidth="1"/>
    <col min="46" max="46" width="13.5" style="0" bestFit="1" customWidth="1"/>
    <col min="47" max="47" width="11.5" style="0" bestFit="1" customWidth="1"/>
    <col min="48" max="48" width="17" style="55" bestFit="1" customWidth="1"/>
  </cols>
  <sheetData>
    <row r="2" spans="2:48" ht="15">
      <c r="B2" s="220" t="s">
        <v>155</v>
      </c>
      <c r="C2" s="16" t="s">
        <v>132</v>
      </c>
      <c r="D2" s="16" t="s">
        <v>192</v>
      </c>
      <c r="E2" s="16" t="s">
        <v>133</v>
      </c>
      <c r="F2" s="16" t="s">
        <v>131</v>
      </c>
      <c r="G2" s="16" t="s">
        <v>251</v>
      </c>
      <c r="H2" s="16" t="s">
        <v>134</v>
      </c>
      <c r="I2" s="16" t="s">
        <v>135</v>
      </c>
      <c r="J2" s="16" t="s">
        <v>136</v>
      </c>
      <c r="K2" s="16" t="s">
        <v>156</v>
      </c>
      <c r="L2" s="16" t="s">
        <v>137</v>
      </c>
      <c r="M2" s="16" t="s">
        <v>235</v>
      </c>
      <c r="N2" s="16" t="s">
        <v>183</v>
      </c>
      <c r="O2" s="16" t="s">
        <v>138</v>
      </c>
      <c r="P2" s="16" t="s">
        <v>178</v>
      </c>
      <c r="Q2" s="16" t="s">
        <v>139</v>
      </c>
      <c r="R2" s="16" t="s">
        <v>140</v>
      </c>
      <c r="S2" s="16" t="s">
        <v>149</v>
      </c>
      <c r="T2" s="16" t="s">
        <v>177</v>
      </c>
      <c r="U2" s="16" t="s">
        <v>174</v>
      </c>
      <c r="V2" s="16" t="s">
        <v>141</v>
      </c>
      <c r="W2" s="16" t="s">
        <v>181</v>
      </c>
      <c r="X2" s="16" t="s">
        <v>142</v>
      </c>
      <c r="Y2" s="16" t="s">
        <v>154</v>
      </c>
      <c r="Z2" s="16" t="s">
        <v>143</v>
      </c>
      <c r="AA2" s="16" t="s">
        <v>191</v>
      </c>
      <c r="AB2" s="16" t="s">
        <v>175</v>
      </c>
      <c r="AC2" s="16" t="s">
        <v>230</v>
      </c>
      <c r="AD2" s="16" t="s">
        <v>229</v>
      </c>
      <c r="AE2" s="16" t="s">
        <v>144</v>
      </c>
      <c r="AF2" s="16" t="s">
        <v>145</v>
      </c>
      <c r="AG2" s="16" t="s">
        <v>180</v>
      </c>
      <c r="AH2" s="16" t="s">
        <v>195</v>
      </c>
      <c r="AI2" s="16" t="s">
        <v>196</v>
      </c>
      <c r="AJ2" s="16" t="s">
        <v>236</v>
      </c>
      <c r="AK2" s="16" t="s">
        <v>237</v>
      </c>
      <c r="AL2" s="16" t="s">
        <v>187</v>
      </c>
      <c r="AM2" s="16" t="s">
        <v>150</v>
      </c>
      <c r="AN2" s="16" t="s">
        <v>189</v>
      </c>
      <c r="AO2" s="16" t="s">
        <v>146</v>
      </c>
      <c r="AP2" s="16" t="s">
        <v>186</v>
      </c>
      <c r="AQ2" s="16" t="s">
        <v>182</v>
      </c>
      <c r="AR2" s="16" t="s">
        <v>190</v>
      </c>
      <c r="AS2" s="16" t="s">
        <v>147</v>
      </c>
      <c r="AT2" s="16" t="s">
        <v>179</v>
      </c>
      <c r="AU2" s="16" t="s">
        <v>171</v>
      </c>
      <c r="AV2" s="221" t="s">
        <v>148</v>
      </c>
    </row>
    <row r="3" spans="2:48" ht="14.25">
      <c r="B3" s="222" t="s">
        <v>157</v>
      </c>
      <c r="C3" s="66">
        <v>3991</v>
      </c>
      <c r="D3" s="38">
        <v>3211</v>
      </c>
      <c r="E3" s="63" t="s">
        <v>39</v>
      </c>
      <c r="F3" s="38">
        <v>3960</v>
      </c>
      <c r="G3" s="38"/>
      <c r="H3" s="38">
        <v>2506</v>
      </c>
      <c r="I3" s="38"/>
      <c r="J3" s="38"/>
      <c r="K3" s="38">
        <v>6094</v>
      </c>
      <c r="L3" s="38"/>
      <c r="M3" s="38"/>
      <c r="N3" s="38"/>
      <c r="O3" s="38">
        <v>221</v>
      </c>
      <c r="P3" s="38"/>
      <c r="Q3" s="38">
        <v>3610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>
        <v>521</v>
      </c>
      <c r="AP3" s="38"/>
      <c r="AQ3" s="38"/>
      <c r="AR3" s="38"/>
      <c r="AS3" s="38">
        <v>1452</v>
      </c>
      <c r="AT3" s="38"/>
      <c r="AU3" s="38">
        <v>457</v>
      </c>
      <c r="AV3" s="223">
        <f aca="true" t="shared" si="0" ref="AV3:AV31">SUM(C3:AU3)</f>
        <v>26023</v>
      </c>
    </row>
    <row r="4" spans="2:48" ht="15">
      <c r="B4" s="224" t="s">
        <v>4</v>
      </c>
      <c r="C4" s="38">
        <v>7083</v>
      </c>
      <c r="D4" s="38">
        <v>2856</v>
      </c>
      <c r="E4" s="38"/>
      <c r="F4" s="38">
        <v>3927</v>
      </c>
      <c r="G4" s="38"/>
      <c r="H4" s="38">
        <v>2243</v>
      </c>
      <c r="I4" s="38"/>
      <c r="J4" s="38"/>
      <c r="K4" s="38">
        <v>5617</v>
      </c>
      <c r="L4" s="38"/>
      <c r="M4" s="38"/>
      <c r="N4" s="38"/>
      <c r="O4" s="38">
        <v>258</v>
      </c>
      <c r="P4" s="38"/>
      <c r="Q4" s="38">
        <v>3078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>
        <v>336</v>
      </c>
      <c r="AP4" s="38"/>
      <c r="AQ4" s="38"/>
      <c r="AR4" s="38"/>
      <c r="AS4" s="38">
        <v>1332</v>
      </c>
      <c r="AT4" s="38"/>
      <c r="AU4" s="38">
        <v>1032</v>
      </c>
      <c r="AV4" s="223">
        <f t="shared" si="0"/>
        <v>27762</v>
      </c>
    </row>
    <row r="5" spans="2:48" ht="15">
      <c r="B5" s="224" t="s">
        <v>5</v>
      </c>
      <c r="C5" s="38">
        <v>5761</v>
      </c>
      <c r="D5" s="38">
        <v>3135</v>
      </c>
      <c r="E5" s="38"/>
      <c r="F5" s="38">
        <v>5004</v>
      </c>
      <c r="G5" s="38"/>
      <c r="H5" s="38">
        <v>2016</v>
      </c>
      <c r="I5" s="38"/>
      <c r="J5" s="38"/>
      <c r="K5" s="38">
        <v>5402</v>
      </c>
      <c r="L5" s="38"/>
      <c r="M5" s="38"/>
      <c r="N5" s="38"/>
      <c r="O5" s="38">
        <v>136</v>
      </c>
      <c r="P5" s="38"/>
      <c r="Q5" s="38">
        <v>2662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>
        <v>367</v>
      </c>
      <c r="AP5" s="38"/>
      <c r="AQ5" s="38"/>
      <c r="AR5" s="38"/>
      <c r="AS5" s="38">
        <v>1408</v>
      </c>
      <c r="AT5" s="38"/>
      <c r="AU5" s="38">
        <v>1701</v>
      </c>
      <c r="AV5" s="223">
        <f t="shared" si="0"/>
        <v>27592</v>
      </c>
    </row>
    <row r="6" spans="2:48" ht="15">
      <c r="B6" s="224" t="s">
        <v>6</v>
      </c>
      <c r="C6" s="38">
        <v>6049</v>
      </c>
      <c r="D6" s="38">
        <v>3883</v>
      </c>
      <c r="E6" s="38"/>
      <c r="F6" s="38">
        <v>4565</v>
      </c>
      <c r="G6" s="38"/>
      <c r="H6" s="38">
        <v>2044</v>
      </c>
      <c r="I6" s="38"/>
      <c r="J6" s="38">
        <v>252</v>
      </c>
      <c r="K6" s="38">
        <v>5555</v>
      </c>
      <c r="L6" s="38"/>
      <c r="M6" s="38"/>
      <c r="N6" s="38"/>
      <c r="O6" s="38">
        <v>216</v>
      </c>
      <c r="P6" s="38"/>
      <c r="Q6" s="38">
        <v>2793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>
        <v>341</v>
      </c>
      <c r="AP6" s="38"/>
      <c r="AQ6" s="38"/>
      <c r="AR6" s="38"/>
      <c r="AS6" s="38">
        <v>1228</v>
      </c>
      <c r="AT6" s="38"/>
      <c r="AU6" s="38">
        <v>1177</v>
      </c>
      <c r="AV6" s="223">
        <f t="shared" si="0"/>
        <v>28103</v>
      </c>
    </row>
    <row r="7" spans="2:48" ht="15">
      <c r="B7" s="224" t="s">
        <v>7</v>
      </c>
      <c r="C7" s="38">
        <v>5934</v>
      </c>
      <c r="D7" s="38">
        <v>3768</v>
      </c>
      <c r="E7" s="38"/>
      <c r="F7" s="38">
        <v>4852</v>
      </c>
      <c r="G7" s="38"/>
      <c r="H7" s="38">
        <v>2247</v>
      </c>
      <c r="I7" s="38"/>
      <c r="J7" s="38">
        <v>153</v>
      </c>
      <c r="K7" s="38">
        <v>5877</v>
      </c>
      <c r="L7" s="38">
        <v>338</v>
      </c>
      <c r="M7" s="38"/>
      <c r="N7" s="38"/>
      <c r="O7" s="38">
        <v>5160</v>
      </c>
      <c r="P7" s="38"/>
      <c r="Q7" s="38">
        <v>2834</v>
      </c>
      <c r="R7" s="38">
        <v>106</v>
      </c>
      <c r="S7" s="38"/>
      <c r="T7" s="38"/>
      <c r="U7" s="38"/>
      <c r="V7" s="38">
        <v>80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>
        <v>305</v>
      </c>
      <c r="AP7" s="38"/>
      <c r="AQ7" s="38"/>
      <c r="AR7" s="38"/>
      <c r="AS7" s="38">
        <v>1159</v>
      </c>
      <c r="AT7" s="38"/>
      <c r="AU7" s="63" t="s">
        <v>39</v>
      </c>
      <c r="AV7" s="223">
        <f t="shared" si="0"/>
        <v>32813</v>
      </c>
    </row>
    <row r="8" spans="2:48" ht="15">
      <c r="B8" s="224" t="s">
        <v>8</v>
      </c>
      <c r="C8" s="38">
        <v>4594</v>
      </c>
      <c r="D8" s="38">
        <v>3790</v>
      </c>
      <c r="E8" s="38">
        <v>1075</v>
      </c>
      <c r="F8" s="38">
        <v>4085</v>
      </c>
      <c r="G8" s="38"/>
      <c r="H8" s="38">
        <v>2455</v>
      </c>
      <c r="I8" s="38"/>
      <c r="J8" s="38">
        <v>119</v>
      </c>
      <c r="K8" s="38">
        <v>5459</v>
      </c>
      <c r="L8" s="38">
        <v>257</v>
      </c>
      <c r="M8" s="38"/>
      <c r="N8" s="38"/>
      <c r="O8" s="38">
        <v>5580</v>
      </c>
      <c r="P8" s="38"/>
      <c r="Q8" s="38">
        <v>2621</v>
      </c>
      <c r="R8" s="38">
        <v>127</v>
      </c>
      <c r="S8" s="38"/>
      <c r="T8" s="38"/>
      <c r="U8" s="38"/>
      <c r="V8" s="38">
        <v>85</v>
      </c>
      <c r="W8" s="38"/>
      <c r="X8" s="38">
        <v>432</v>
      </c>
      <c r="Y8" s="38"/>
      <c r="Z8" s="38">
        <v>58</v>
      </c>
      <c r="AA8" s="38"/>
      <c r="AB8" s="38"/>
      <c r="AC8" s="38"/>
      <c r="AD8" s="38">
        <v>191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>
        <v>312</v>
      </c>
      <c r="AP8" s="38"/>
      <c r="AQ8" s="38"/>
      <c r="AR8" s="38"/>
      <c r="AS8" s="38">
        <v>1530</v>
      </c>
      <c r="AT8" s="38"/>
      <c r="AU8" s="38"/>
      <c r="AV8" s="223">
        <f t="shared" si="0"/>
        <v>32770</v>
      </c>
    </row>
    <row r="9" spans="2:48" ht="15">
      <c r="B9" s="224" t="s">
        <v>9</v>
      </c>
      <c r="C9" s="38">
        <v>4277</v>
      </c>
      <c r="D9" s="38">
        <v>2967</v>
      </c>
      <c r="E9" s="38">
        <v>1826</v>
      </c>
      <c r="F9" s="38">
        <v>4296</v>
      </c>
      <c r="G9" s="38"/>
      <c r="H9" s="38">
        <v>2115</v>
      </c>
      <c r="I9" s="38"/>
      <c r="J9" s="38">
        <v>77</v>
      </c>
      <c r="K9" s="38">
        <v>4812</v>
      </c>
      <c r="L9" s="38">
        <v>325</v>
      </c>
      <c r="M9" s="38"/>
      <c r="N9" s="38"/>
      <c r="O9" s="38">
        <v>6120</v>
      </c>
      <c r="P9" s="38"/>
      <c r="Q9" s="38">
        <v>2419</v>
      </c>
      <c r="R9" s="38">
        <v>203</v>
      </c>
      <c r="S9" s="38"/>
      <c r="T9" s="38"/>
      <c r="U9" s="38"/>
      <c r="V9" s="38">
        <v>225</v>
      </c>
      <c r="W9" s="38"/>
      <c r="X9" s="38">
        <v>927</v>
      </c>
      <c r="Y9" s="38"/>
      <c r="Z9" s="38">
        <v>110</v>
      </c>
      <c r="AA9" s="38"/>
      <c r="AB9" s="38"/>
      <c r="AC9" s="38"/>
      <c r="AD9" s="38">
        <v>363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>
        <v>390</v>
      </c>
      <c r="AP9" s="38"/>
      <c r="AQ9" s="38"/>
      <c r="AR9" s="38"/>
      <c r="AS9" s="38">
        <v>1830</v>
      </c>
      <c r="AT9" s="38"/>
      <c r="AU9" s="38"/>
      <c r="AV9" s="223">
        <f t="shared" si="0"/>
        <v>33282</v>
      </c>
    </row>
    <row r="10" spans="2:48" ht="15">
      <c r="B10" s="224" t="s">
        <v>10</v>
      </c>
      <c r="C10" s="38">
        <v>4937</v>
      </c>
      <c r="D10" s="38">
        <v>2933</v>
      </c>
      <c r="E10" s="38">
        <v>951</v>
      </c>
      <c r="F10" s="38">
        <v>4101</v>
      </c>
      <c r="G10" s="38"/>
      <c r="H10" s="38">
        <v>2218</v>
      </c>
      <c r="I10" s="38"/>
      <c r="J10" s="38">
        <v>42</v>
      </c>
      <c r="K10" s="38">
        <v>4505</v>
      </c>
      <c r="L10" s="38">
        <v>200</v>
      </c>
      <c r="M10" s="38"/>
      <c r="N10" s="38"/>
      <c r="O10" s="38">
        <v>6740</v>
      </c>
      <c r="P10" s="38"/>
      <c r="Q10" s="38">
        <v>2586</v>
      </c>
      <c r="R10" s="38">
        <v>305</v>
      </c>
      <c r="S10" s="38"/>
      <c r="T10" s="38"/>
      <c r="U10" s="38"/>
      <c r="V10" s="38">
        <v>200</v>
      </c>
      <c r="W10" s="38"/>
      <c r="X10" s="38">
        <v>627</v>
      </c>
      <c r="Y10" s="38"/>
      <c r="Z10" s="38"/>
      <c r="AA10" s="38"/>
      <c r="AB10" s="38"/>
      <c r="AC10" s="38"/>
      <c r="AD10" s="38">
        <v>498</v>
      </c>
      <c r="AE10" s="38"/>
      <c r="AF10" s="38">
        <v>84</v>
      </c>
      <c r="AG10" s="38"/>
      <c r="AH10" s="38"/>
      <c r="AI10" s="38"/>
      <c r="AJ10" s="38"/>
      <c r="AK10" s="38"/>
      <c r="AL10" s="38"/>
      <c r="AM10" s="38"/>
      <c r="AN10" s="38"/>
      <c r="AO10" s="38">
        <v>354</v>
      </c>
      <c r="AP10" s="38"/>
      <c r="AQ10" s="38"/>
      <c r="AR10" s="38"/>
      <c r="AS10" s="38">
        <v>2109</v>
      </c>
      <c r="AT10" s="38"/>
      <c r="AU10" s="38"/>
      <c r="AV10" s="223">
        <f t="shared" si="0"/>
        <v>33390</v>
      </c>
    </row>
    <row r="11" spans="2:48" ht="15">
      <c r="B11" s="224" t="s">
        <v>11</v>
      </c>
      <c r="C11" s="38">
        <v>4813</v>
      </c>
      <c r="D11" s="38">
        <v>2987</v>
      </c>
      <c r="E11" s="38">
        <v>537</v>
      </c>
      <c r="F11" s="38">
        <v>4431</v>
      </c>
      <c r="G11" s="38"/>
      <c r="H11" s="38">
        <v>2363</v>
      </c>
      <c r="I11" s="38">
        <v>61</v>
      </c>
      <c r="J11" s="38">
        <v>59</v>
      </c>
      <c r="K11" s="38">
        <v>5081</v>
      </c>
      <c r="L11" s="38">
        <v>29</v>
      </c>
      <c r="M11" s="38"/>
      <c r="N11" s="38"/>
      <c r="O11" s="38">
        <v>7500</v>
      </c>
      <c r="P11" s="38">
        <v>117</v>
      </c>
      <c r="Q11" s="38">
        <v>2891</v>
      </c>
      <c r="R11" s="38">
        <v>390</v>
      </c>
      <c r="S11" s="38"/>
      <c r="T11" s="38"/>
      <c r="U11" s="38"/>
      <c r="V11" s="38">
        <v>164</v>
      </c>
      <c r="W11" s="38"/>
      <c r="X11" s="38">
        <v>647</v>
      </c>
      <c r="Y11" s="38"/>
      <c r="Z11" s="38">
        <v>116</v>
      </c>
      <c r="AA11" s="38"/>
      <c r="AB11" s="38"/>
      <c r="AC11" s="38"/>
      <c r="AD11" s="38">
        <v>772</v>
      </c>
      <c r="AE11" s="38"/>
      <c r="AF11" s="38">
        <v>64</v>
      </c>
      <c r="AG11" s="38"/>
      <c r="AH11" s="38"/>
      <c r="AI11" s="38"/>
      <c r="AJ11" s="38"/>
      <c r="AK11" s="38"/>
      <c r="AL11" s="38"/>
      <c r="AM11" s="38"/>
      <c r="AN11" s="38"/>
      <c r="AO11" s="38">
        <v>361</v>
      </c>
      <c r="AP11" s="38"/>
      <c r="AQ11" s="38"/>
      <c r="AR11" s="38"/>
      <c r="AS11" s="38">
        <v>2024</v>
      </c>
      <c r="AT11" s="38"/>
      <c r="AU11" s="38"/>
      <c r="AV11" s="223">
        <f t="shared" si="0"/>
        <v>35407</v>
      </c>
    </row>
    <row r="12" spans="2:48" ht="14.25">
      <c r="B12" s="222" t="s">
        <v>12</v>
      </c>
      <c r="C12" s="38">
        <v>4504</v>
      </c>
      <c r="D12" s="38">
        <v>3339</v>
      </c>
      <c r="E12" s="38">
        <v>736</v>
      </c>
      <c r="F12" s="38">
        <v>4141</v>
      </c>
      <c r="G12" s="38"/>
      <c r="H12" s="38">
        <v>2234</v>
      </c>
      <c r="I12" s="38">
        <v>6</v>
      </c>
      <c r="J12" s="38">
        <v>19</v>
      </c>
      <c r="K12" s="38">
        <v>5912</v>
      </c>
      <c r="L12" s="38"/>
      <c r="M12" s="38"/>
      <c r="N12" s="38"/>
      <c r="O12" s="38">
        <v>8360</v>
      </c>
      <c r="P12" s="38">
        <v>113</v>
      </c>
      <c r="Q12" s="38">
        <v>3108</v>
      </c>
      <c r="R12" s="38">
        <v>648</v>
      </c>
      <c r="S12" s="38"/>
      <c r="T12" s="38"/>
      <c r="U12" s="38"/>
      <c r="V12" s="38">
        <v>209</v>
      </c>
      <c r="W12" s="38"/>
      <c r="X12" s="38">
        <v>652</v>
      </c>
      <c r="Y12" s="38"/>
      <c r="Z12" s="38">
        <v>71</v>
      </c>
      <c r="AA12" s="38"/>
      <c r="AB12" s="38"/>
      <c r="AC12" s="38"/>
      <c r="AD12" s="38">
        <v>676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273</v>
      </c>
      <c r="AP12" s="38"/>
      <c r="AQ12" s="38"/>
      <c r="AR12" s="38"/>
      <c r="AS12" s="38">
        <v>2189</v>
      </c>
      <c r="AT12" s="38"/>
      <c r="AU12" s="38"/>
      <c r="AV12" s="223">
        <f t="shared" si="0"/>
        <v>37190</v>
      </c>
    </row>
    <row r="13" spans="2:48" ht="14.25">
      <c r="B13" s="222" t="s">
        <v>13</v>
      </c>
      <c r="C13" s="38">
        <v>4275</v>
      </c>
      <c r="D13" s="38">
        <v>3656</v>
      </c>
      <c r="E13" s="38">
        <v>704</v>
      </c>
      <c r="F13" s="38">
        <v>3196</v>
      </c>
      <c r="G13" s="38"/>
      <c r="H13" s="38">
        <v>2554</v>
      </c>
      <c r="I13" s="38"/>
      <c r="J13" s="38"/>
      <c r="K13" s="38">
        <v>6547</v>
      </c>
      <c r="L13" s="38"/>
      <c r="M13" s="38"/>
      <c r="N13" s="38"/>
      <c r="O13" s="38">
        <v>8420</v>
      </c>
      <c r="P13" s="38"/>
      <c r="Q13" s="38">
        <v>2576</v>
      </c>
      <c r="R13" s="38">
        <v>710</v>
      </c>
      <c r="S13" s="38">
        <v>93</v>
      </c>
      <c r="T13" s="38"/>
      <c r="U13" s="38"/>
      <c r="V13" s="38">
        <v>240</v>
      </c>
      <c r="W13" s="38"/>
      <c r="X13" s="38">
        <v>735</v>
      </c>
      <c r="Y13" s="38"/>
      <c r="Z13" s="63" t="s">
        <v>39</v>
      </c>
      <c r="AA13" s="63"/>
      <c r="AB13" s="63"/>
      <c r="AC13" s="63"/>
      <c r="AD13" s="38">
        <v>448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222</v>
      </c>
      <c r="AP13" s="38"/>
      <c r="AQ13" s="38"/>
      <c r="AR13" s="38"/>
      <c r="AS13" s="38">
        <v>1892</v>
      </c>
      <c r="AT13" s="38"/>
      <c r="AU13" s="38"/>
      <c r="AV13" s="223">
        <f t="shared" si="0"/>
        <v>36268</v>
      </c>
    </row>
    <row r="14" spans="2:48" ht="14.25">
      <c r="B14" s="222" t="s">
        <v>14</v>
      </c>
      <c r="C14" s="38">
        <v>4258</v>
      </c>
      <c r="D14" s="38">
        <v>4364</v>
      </c>
      <c r="E14" s="38">
        <v>658</v>
      </c>
      <c r="F14" s="38">
        <v>3538</v>
      </c>
      <c r="G14" s="38"/>
      <c r="H14" s="38">
        <v>2424</v>
      </c>
      <c r="I14" s="38"/>
      <c r="J14" s="38">
        <v>4</v>
      </c>
      <c r="K14" s="38">
        <v>6787</v>
      </c>
      <c r="L14" s="38">
        <v>307</v>
      </c>
      <c r="M14" s="38"/>
      <c r="N14" s="38"/>
      <c r="O14" s="38">
        <v>8920</v>
      </c>
      <c r="P14" s="38">
        <v>91</v>
      </c>
      <c r="Q14" s="38">
        <v>3009</v>
      </c>
      <c r="R14" s="38">
        <v>245</v>
      </c>
      <c r="S14" s="38">
        <v>94</v>
      </c>
      <c r="T14" s="38"/>
      <c r="U14" s="38"/>
      <c r="V14" s="38">
        <v>175</v>
      </c>
      <c r="W14" s="38"/>
      <c r="X14" s="38">
        <v>785</v>
      </c>
      <c r="Y14" s="38"/>
      <c r="Z14" s="38">
        <v>191</v>
      </c>
      <c r="AA14" s="38"/>
      <c r="AB14" s="38"/>
      <c r="AC14" s="38"/>
      <c r="AD14" s="38">
        <v>625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>
        <v>281</v>
      </c>
      <c r="AP14" s="38"/>
      <c r="AQ14" s="38"/>
      <c r="AR14" s="38"/>
      <c r="AS14" s="38">
        <v>1817</v>
      </c>
      <c r="AT14" s="38"/>
      <c r="AU14" s="38">
        <v>912</v>
      </c>
      <c r="AV14" s="223">
        <f t="shared" si="0"/>
        <v>39485</v>
      </c>
    </row>
    <row r="15" spans="2:48" ht="14.25">
      <c r="B15" s="222" t="s">
        <v>15</v>
      </c>
      <c r="C15" s="38">
        <v>4030</v>
      </c>
      <c r="D15" s="38">
        <v>4218</v>
      </c>
      <c r="E15" s="38">
        <v>815</v>
      </c>
      <c r="F15" s="38">
        <v>3713</v>
      </c>
      <c r="G15" s="38"/>
      <c r="H15" s="38">
        <v>2228</v>
      </c>
      <c r="I15" s="38">
        <v>74</v>
      </c>
      <c r="J15" s="38">
        <v>644</v>
      </c>
      <c r="K15" s="38">
        <v>6817</v>
      </c>
      <c r="L15" s="38">
        <v>168</v>
      </c>
      <c r="M15" s="38"/>
      <c r="N15" s="38"/>
      <c r="O15" s="38">
        <v>8940</v>
      </c>
      <c r="P15" s="38">
        <v>51</v>
      </c>
      <c r="Q15" s="38">
        <v>2557</v>
      </c>
      <c r="R15" s="38">
        <v>375</v>
      </c>
      <c r="S15" s="38">
        <v>97</v>
      </c>
      <c r="T15" s="38"/>
      <c r="U15" s="38"/>
      <c r="V15" s="38">
        <v>314</v>
      </c>
      <c r="W15" s="38"/>
      <c r="X15" s="38">
        <v>842</v>
      </c>
      <c r="Y15" s="38"/>
      <c r="Z15" s="38">
        <v>287</v>
      </c>
      <c r="AA15" s="38"/>
      <c r="AB15" s="38"/>
      <c r="AC15" s="38"/>
      <c r="AD15" s="38">
        <v>502</v>
      </c>
      <c r="AE15" s="38">
        <v>227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326</v>
      </c>
      <c r="AP15" s="38"/>
      <c r="AQ15" s="38"/>
      <c r="AR15" s="38"/>
      <c r="AS15" s="38">
        <v>1976</v>
      </c>
      <c r="AT15" s="38"/>
      <c r="AU15" s="38">
        <v>897</v>
      </c>
      <c r="AV15" s="223">
        <f t="shared" si="0"/>
        <v>40098</v>
      </c>
    </row>
    <row r="16" spans="2:48" ht="14.25" hidden="1">
      <c r="B16" s="222" t="s">
        <v>158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223">
        <f t="shared" si="0"/>
        <v>0</v>
      </c>
    </row>
    <row r="17" spans="2:48" ht="14.25">
      <c r="B17" s="222" t="s">
        <v>16</v>
      </c>
      <c r="C17" s="38">
        <v>3939</v>
      </c>
      <c r="D17" s="38">
        <v>4046</v>
      </c>
      <c r="E17" s="38">
        <v>760</v>
      </c>
      <c r="F17" s="38">
        <v>4071</v>
      </c>
      <c r="G17" s="38"/>
      <c r="H17" s="38">
        <v>2228</v>
      </c>
      <c r="I17" s="38">
        <v>60</v>
      </c>
      <c r="J17" s="38">
        <v>114</v>
      </c>
      <c r="K17" s="38">
        <v>6827</v>
      </c>
      <c r="L17" s="38">
        <v>278</v>
      </c>
      <c r="M17" s="38"/>
      <c r="N17" s="38"/>
      <c r="O17" s="38">
        <v>8480</v>
      </c>
      <c r="P17" s="38">
        <v>72</v>
      </c>
      <c r="Q17" s="38">
        <v>2363</v>
      </c>
      <c r="R17" s="38">
        <v>335</v>
      </c>
      <c r="S17" s="38">
        <v>84</v>
      </c>
      <c r="T17" s="38"/>
      <c r="U17" s="38"/>
      <c r="V17" s="38">
        <v>220</v>
      </c>
      <c r="W17" s="38"/>
      <c r="X17" s="38">
        <v>923</v>
      </c>
      <c r="Y17" s="38"/>
      <c r="Z17" s="38">
        <v>318</v>
      </c>
      <c r="AA17" s="38"/>
      <c r="AB17" s="38"/>
      <c r="AC17" s="38"/>
      <c r="AD17" s="38">
        <v>705</v>
      </c>
      <c r="AE17" s="38">
        <v>170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275</v>
      </c>
      <c r="AP17" s="38"/>
      <c r="AQ17" s="38"/>
      <c r="AR17" s="38"/>
      <c r="AS17" s="38">
        <v>1662</v>
      </c>
      <c r="AT17" s="38"/>
      <c r="AU17" s="38">
        <v>795</v>
      </c>
      <c r="AV17" s="223">
        <f t="shared" si="0"/>
        <v>38725</v>
      </c>
    </row>
    <row r="18" spans="2:48" ht="14.25">
      <c r="B18" s="222" t="s">
        <v>17</v>
      </c>
      <c r="C18" s="38">
        <v>3668</v>
      </c>
      <c r="D18" s="38">
        <v>3727</v>
      </c>
      <c r="E18" s="38">
        <v>725</v>
      </c>
      <c r="F18" s="38">
        <v>3662</v>
      </c>
      <c r="G18" s="38"/>
      <c r="H18" s="38">
        <v>2125</v>
      </c>
      <c r="I18" s="38"/>
      <c r="J18" s="38">
        <v>353</v>
      </c>
      <c r="K18" s="38">
        <v>6421</v>
      </c>
      <c r="L18" s="38">
        <v>273</v>
      </c>
      <c r="M18" s="38"/>
      <c r="N18" s="38"/>
      <c r="O18" s="38">
        <v>8100</v>
      </c>
      <c r="P18" s="38">
        <v>76</v>
      </c>
      <c r="Q18" s="38">
        <v>1851</v>
      </c>
      <c r="R18" s="38">
        <v>311</v>
      </c>
      <c r="S18" s="38">
        <v>85</v>
      </c>
      <c r="T18" s="38"/>
      <c r="U18" s="38"/>
      <c r="V18" s="38">
        <v>191</v>
      </c>
      <c r="W18" s="38"/>
      <c r="X18" s="38">
        <v>841</v>
      </c>
      <c r="Y18" s="38">
        <v>303</v>
      </c>
      <c r="Z18" s="38">
        <v>362</v>
      </c>
      <c r="AA18" s="38"/>
      <c r="AB18" s="38"/>
      <c r="AC18" s="38"/>
      <c r="AD18" s="38">
        <v>881</v>
      </c>
      <c r="AE18" s="38">
        <v>137</v>
      </c>
      <c r="AF18" s="38"/>
      <c r="AG18" s="38"/>
      <c r="AH18" s="38"/>
      <c r="AI18" s="38"/>
      <c r="AJ18" s="38"/>
      <c r="AK18" s="38"/>
      <c r="AL18" s="38"/>
      <c r="AM18" s="38">
        <v>341</v>
      </c>
      <c r="AN18" s="38"/>
      <c r="AO18" s="38">
        <v>256</v>
      </c>
      <c r="AP18" s="38"/>
      <c r="AQ18" s="38"/>
      <c r="AR18" s="38"/>
      <c r="AS18" s="38">
        <v>1555</v>
      </c>
      <c r="AT18" s="38"/>
      <c r="AU18" s="38">
        <v>325</v>
      </c>
      <c r="AV18" s="223">
        <f t="shared" si="0"/>
        <v>36569</v>
      </c>
    </row>
    <row r="19" spans="2:48" ht="14.25">
      <c r="B19" s="225" t="s">
        <v>18</v>
      </c>
      <c r="C19" s="38">
        <v>3825</v>
      </c>
      <c r="D19" s="38">
        <v>3928</v>
      </c>
      <c r="E19" s="38">
        <v>737</v>
      </c>
      <c r="F19" s="38">
        <v>3194</v>
      </c>
      <c r="G19" s="38"/>
      <c r="H19" s="38">
        <v>2133</v>
      </c>
      <c r="I19" s="38">
        <v>0</v>
      </c>
      <c r="J19" s="38">
        <v>251</v>
      </c>
      <c r="K19" s="38">
        <v>6626</v>
      </c>
      <c r="L19" s="38">
        <v>200</v>
      </c>
      <c r="M19" s="38"/>
      <c r="N19" s="38"/>
      <c r="O19" s="38">
        <v>7960</v>
      </c>
      <c r="P19" s="38">
        <v>548</v>
      </c>
      <c r="Q19" s="38">
        <v>2045</v>
      </c>
      <c r="R19" s="38">
        <v>321</v>
      </c>
      <c r="S19" s="38">
        <v>121</v>
      </c>
      <c r="T19" s="38"/>
      <c r="U19" s="38"/>
      <c r="V19" s="38">
        <v>152</v>
      </c>
      <c r="W19" s="38"/>
      <c r="X19" s="38">
        <v>789</v>
      </c>
      <c r="Y19" s="38">
        <v>184</v>
      </c>
      <c r="Z19" s="38">
        <v>908</v>
      </c>
      <c r="AA19" s="38"/>
      <c r="AB19" s="38"/>
      <c r="AC19" s="38"/>
      <c r="AD19" s="38">
        <v>882</v>
      </c>
      <c r="AE19" s="38">
        <v>141</v>
      </c>
      <c r="AF19" s="38"/>
      <c r="AG19" s="38"/>
      <c r="AH19" s="38"/>
      <c r="AI19" s="38"/>
      <c r="AJ19" s="38"/>
      <c r="AK19" s="38"/>
      <c r="AL19" s="38"/>
      <c r="AM19" s="38">
        <v>381</v>
      </c>
      <c r="AN19" s="38"/>
      <c r="AO19" s="38">
        <v>282</v>
      </c>
      <c r="AP19" s="38"/>
      <c r="AQ19" s="38"/>
      <c r="AR19" s="38"/>
      <c r="AS19" s="38">
        <v>1363</v>
      </c>
      <c r="AT19" s="38"/>
      <c r="AU19" s="38">
        <v>442</v>
      </c>
      <c r="AV19" s="223">
        <f t="shared" si="0"/>
        <v>37413</v>
      </c>
    </row>
    <row r="20" spans="2:48" ht="14.25">
      <c r="B20" s="225" t="s">
        <v>19</v>
      </c>
      <c r="C20" s="38">
        <v>3724</v>
      </c>
      <c r="D20" s="38">
        <v>3530</v>
      </c>
      <c r="E20" s="38">
        <v>657</v>
      </c>
      <c r="F20" s="38">
        <v>3063</v>
      </c>
      <c r="G20" s="38"/>
      <c r="H20" s="38">
        <v>1999</v>
      </c>
      <c r="I20" s="38">
        <v>0</v>
      </c>
      <c r="J20" s="38">
        <v>205</v>
      </c>
      <c r="K20" s="38">
        <v>5769</v>
      </c>
      <c r="L20" s="38">
        <v>155</v>
      </c>
      <c r="M20" s="38"/>
      <c r="N20" s="38"/>
      <c r="O20" s="38">
        <v>7520</v>
      </c>
      <c r="P20" s="38">
        <v>420</v>
      </c>
      <c r="Q20" s="38">
        <v>2479</v>
      </c>
      <c r="R20" s="38">
        <v>313</v>
      </c>
      <c r="S20" s="38">
        <v>94</v>
      </c>
      <c r="T20" s="38"/>
      <c r="U20" s="38"/>
      <c r="V20" s="38">
        <v>338</v>
      </c>
      <c r="W20" s="38"/>
      <c r="X20" s="38">
        <v>762</v>
      </c>
      <c r="Y20" s="38">
        <v>202</v>
      </c>
      <c r="Z20" s="38">
        <v>889</v>
      </c>
      <c r="AA20" s="38"/>
      <c r="AB20" s="38"/>
      <c r="AC20" s="38"/>
      <c r="AD20" s="38">
        <v>911</v>
      </c>
      <c r="AE20" s="38">
        <v>252</v>
      </c>
      <c r="AF20" s="38"/>
      <c r="AG20" s="38"/>
      <c r="AH20" s="38"/>
      <c r="AI20" s="38"/>
      <c r="AJ20" s="38"/>
      <c r="AK20" s="38"/>
      <c r="AL20" s="38"/>
      <c r="AM20" s="38">
        <v>409</v>
      </c>
      <c r="AN20" s="38"/>
      <c r="AO20" s="38">
        <v>285</v>
      </c>
      <c r="AP20" s="38"/>
      <c r="AQ20" s="38"/>
      <c r="AR20" s="38"/>
      <c r="AS20" s="38">
        <v>1219</v>
      </c>
      <c r="AT20" s="38"/>
      <c r="AU20" s="38">
        <v>280</v>
      </c>
      <c r="AV20" s="223">
        <f t="shared" si="0"/>
        <v>35475</v>
      </c>
    </row>
    <row r="21" spans="2:48" ht="14.25">
      <c r="B21" s="225" t="s">
        <v>20</v>
      </c>
      <c r="C21" s="38">
        <v>1337</v>
      </c>
      <c r="D21" s="38">
        <v>3704</v>
      </c>
      <c r="E21" s="38">
        <v>596</v>
      </c>
      <c r="F21" s="38">
        <v>2868</v>
      </c>
      <c r="G21" s="38"/>
      <c r="H21" s="38">
        <v>1985</v>
      </c>
      <c r="I21" s="38">
        <v>87</v>
      </c>
      <c r="J21" s="38">
        <v>268</v>
      </c>
      <c r="K21" s="38">
        <v>5928</v>
      </c>
      <c r="L21" s="38">
        <v>205</v>
      </c>
      <c r="M21" s="38"/>
      <c r="N21" s="38"/>
      <c r="O21" s="38">
        <v>7520</v>
      </c>
      <c r="P21" s="38">
        <v>57</v>
      </c>
      <c r="Q21" s="38">
        <v>2339</v>
      </c>
      <c r="R21" s="38">
        <v>365</v>
      </c>
      <c r="S21" s="38">
        <v>83</v>
      </c>
      <c r="T21" s="38">
        <v>63</v>
      </c>
      <c r="U21" s="38"/>
      <c r="V21" s="38">
        <v>229</v>
      </c>
      <c r="W21" s="38"/>
      <c r="X21" s="38">
        <v>725</v>
      </c>
      <c r="Y21" s="38">
        <v>366</v>
      </c>
      <c r="Z21" s="38">
        <v>1044</v>
      </c>
      <c r="AA21" s="38"/>
      <c r="AB21" s="38">
        <v>64</v>
      </c>
      <c r="AC21" s="38"/>
      <c r="AD21" s="38">
        <v>940</v>
      </c>
      <c r="AE21" s="38">
        <v>218</v>
      </c>
      <c r="AF21" s="38"/>
      <c r="AG21" s="38"/>
      <c r="AH21" s="38"/>
      <c r="AI21" s="38"/>
      <c r="AJ21" s="38"/>
      <c r="AK21" s="38"/>
      <c r="AL21" s="38"/>
      <c r="AM21" s="38">
        <v>576</v>
      </c>
      <c r="AN21" s="38"/>
      <c r="AO21" s="38">
        <v>225</v>
      </c>
      <c r="AP21" s="38"/>
      <c r="AQ21" s="38"/>
      <c r="AR21" s="38"/>
      <c r="AS21" s="38">
        <v>1135</v>
      </c>
      <c r="AT21" s="38"/>
      <c r="AU21" s="38">
        <v>597</v>
      </c>
      <c r="AV21" s="223">
        <f t="shared" si="0"/>
        <v>33524</v>
      </c>
    </row>
    <row r="22" spans="2:48" ht="14.25">
      <c r="B22" s="225" t="s">
        <v>21</v>
      </c>
      <c r="C22" s="38">
        <v>380</v>
      </c>
      <c r="D22" s="38">
        <v>3035</v>
      </c>
      <c r="E22" s="38">
        <v>644</v>
      </c>
      <c r="F22" s="38">
        <v>2998</v>
      </c>
      <c r="G22" s="38"/>
      <c r="H22" s="38">
        <v>1751</v>
      </c>
      <c r="I22" s="38">
        <v>81</v>
      </c>
      <c r="J22" s="38">
        <v>180</v>
      </c>
      <c r="K22" s="38">
        <v>5540</v>
      </c>
      <c r="L22" s="38">
        <v>247</v>
      </c>
      <c r="M22" s="38"/>
      <c r="N22" s="38"/>
      <c r="O22" s="38">
        <v>7540</v>
      </c>
      <c r="P22" s="38">
        <v>21</v>
      </c>
      <c r="Q22" s="38">
        <v>1810</v>
      </c>
      <c r="R22" s="38">
        <v>362</v>
      </c>
      <c r="S22" s="38">
        <v>79</v>
      </c>
      <c r="T22" s="38">
        <v>103</v>
      </c>
      <c r="U22" s="38"/>
      <c r="V22" s="38">
        <v>266</v>
      </c>
      <c r="W22" s="38"/>
      <c r="X22" s="38">
        <v>725</v>
      </c>
      <c r="Y22" s="38">
        <v>237</v>
      </c>
      <c r="Z22" s="38">
        <v>813</v>
      </c>
      <c r="AA22" s="38"/>
      <c r="AB22" s="38">
        <v>98</v>
      </c>
      <c r="AC22" s="38"/>
      <c r="AD22" s="38">
        <v>735</v>
      </c>
      <c r="AE22" s="38">
        <v>234</v>
      </c>
      <c r="AF22" s="38"/>
      <c r="AG22" s="38"/>
      <c r="AH22" s="38"/>
      <c r="AI22" s="38"/>
      <c r="AJ22" s="38"/>
      <c r="AK22" s="38"/>
      <c r="AL22" s="38"/>
      <c r="AM22" s="38">
        <v>243</v>
      </c>
      <c r="AN22" s="38"/>
      <c r="AO22" s="38">
        <v>164</v>
      </c>
      <c r="AP22" s="38"/>
      <c r="AQ22" s="38"/>
      <c r="AR22" s="38"/>
      <c r="AS22" s="38">
        <v>1019</v>
      </c>
      <c r="AT22" s="38"/>
      <c r="AU22" s="38">
        <v>384</v>
      </c>
      <c r="AV22" s="223">
        <f t="shared" si="0"/>
        <v>29689</v>
      </c>
    </row>
    <row r="23" spans="2:48" ht="14.25">
      <c r="B23" s="225" t="s">
        <v>22</v>
      </c>
      <c r="C23" s="38">
        <v>468</v>
      </c>
      <c r="D23" s="38">
        <v>3123</v>
      </c>
      <c r="E23" s="38">
        <v>630</v>
      </c>
      <c r="F23" s="38">
        <v>2559</v>
      </c>
      <c r="G23" s="38"/>
      <c r="H23" s="38">
        <v>1564</v>
      </c>
      <c r="I23" s="38">
        <v>0</v>
      </c>
      <c r="J23" s="38">
        <v>131</v>
      </c>
      <c r="K23" s="38">
        <v>5917</v>
      </c>
      <c r="L23" s="38">
        <v>292</v>
      </c>
      <c r="M23" s="38"/>
      <c r="N23" s="38"/>
      <c r="O23" s="38">
        <v>7420</v>
      </c>
      <c r="P23" s="38">
        <v>0</v>
      </c>
      <c r="Q23" s="38">
        <v>1906</v>
      </c>
      <c r="R23" s="38">
        <v>344</v>
      </c>
      <c r="S23" s="38">
        <v>130</v>
      </c>
      <c r="T23" s="38">
        <v>195</v>
      </c>
      <c r="U23" s="38">
        <v>163</v>
      </c>
      <c r="V23" s="38">
        <v>284</v>
      </c>
      <c r="W23" s="38">
        <v>170</v>
      </c>
      <c r="X23" s="38">
        <v>739</v>
      </c>
      <c r="Y23" s="38">
        <v>335</v>
      </c>
      <c r="Z23" s="38">
        <v>759</v>
      </c>
      <c r="AA23" s="38"/>
      <c r="AB23" s="38">
        <v>304</v>
      </c>
      <c r="AC23" s="38"/>
      <c r="AD23" s="38">
        <v>730</v>
      </c>
      <c r="AE23" s="38">
        <v>169</v>
      </c>
      <c r="AF23" s="38">
        <v>92</v>
      </c>
      <c r="AG23" s="38">
        <v>35</v>
      </c>
      <c r="AH23" s="38"/>
      <c r="AI23" s="38"/>
      <c r="AJ23" s="38"/>
      <c r="AK23" s="38"/>
      <c r="AL23" s="38"/>
      <c r="AM23" s="38">
        <v>391</v>
      </c>
      <c r="AN23" s="38"/>
      <c r="AO23" s="38">
        <v>170</v>
      </c>
      <c r="AP23" s="38"/>
      <c r="AQ23" s="38"/>
      <c r="AR23" s="38"/>
      <c r="AS23" s="38">
        <v>1104</v>
      </c>
      <c r="AT23" s="38">
        <v>179</v>
      </c>
      <c r="AU23" s="38">
        <v>0</v>
      </c>
      <c r="AV23" s="223">
        <f t="shared" si="0"/>
        <v>30303</v>
      </c>
    </row>
    <row r="24" spans="2:48" ht="14.25">
      <c r="B24" s="225" t="s">
        <v>23</v>
      </c>
      <c r="C24" s="38">
        <v>567</v>
      </c>
      <c r="D24" s="38">
        <v>3120</v>
      </c>
      <c r="E24" s="38">
        <v>685</v>
      </c>
      <c r="F24" s="38">
        <v>2724</v>
      </c>
      <c r="G24" s="38"/>
      <c r="H24" s="38">
        <v>1908</v>
      </c>
      <c r="I24" s="38">
        <v>54</v>
      </c>
      <c r="J24" s="38">
        <v>222</v>
      </c>
      <c r="K24" s="38">
        <v>5576</v>
      </c>
      <c r="L24" s="38">
        <v>185</v>
      </c>
      <c r="M24" s="38"/>
      <c r="N24" s="38"/>
      <c r="O24" s="38">
        <v>7160</v>
      </c>
      <c r="P24" s="38"/>
      <c r="Q24" s="38">
        <v>1879</v>
      </c>
      <c r="R24" s="38">
        <v>251</v>
      </c>
      <c r="S24" s="38">
        <v>80</v>
      </c>
      <c r="T24" s="38">
        <v>75</v>
      </c>
      <c r="U24" s="38">
        <v>135</v>
      </c>
      <c r="V24" s="38">
        <v>255</v>
      </c>
      <c r="W24" s="38">
        <v>135</v>
      </c>
      <c r="X24" s="38">
        <v>748</v>
      </c>
      <c r="Y24" s="38">
        <v>199</v>
      </c>
      <c r="Z24" s="38">
        <v>829</v>
      </c>
      <c r="AA24" s="38"/>
      <c r="AB24" s="38">
        <v>376</v>
      </c>
      <c r="AC24" s="38"/>
      <c r="AD24" s="38">
        <v>847</v>
      </c>
      <c r="AE24" s="38">
        <v>234</v>
      </c>
      <c r="AF24" s="38">
        <v>129</v>
      </c>
      <c r="AG24" s="38">
        <v>33</v>
      </c>
      <c r="AH24" s="38"/>
      <c r="AI24" s="38"/>
      <c r="AJ24" s="38"/>
      <c r="AK24" s="38"/>
      <c r="AL24" s="38"/>
      <c r="AM24" s="38">
        <v>578</v>
      </c>
      <c r="AN24" s="38"/>
      <c r="AO24" s="38">
        <v>126</v>
      </c>
      <c r="AP24" s="38"/>
      <c r="AQ24" s="38">
        <v>63</v>
      </c>
      <c r="AR24" s="38"/>
      <c r="AS24" s="38">
        <v>781</v>
      </c>
      <c r="AT24" s="38">
        <v>633</v>
      </c>
      <c r="AU24" s="38"/>
      <c r="AV24" s="223">
        <f t="shared" si="0"/>
        <v>30587</v>
      </c>
    </row>
    <row r="25" spans="2:48" ht="14.25">
      <c r="B25" s="225" t="s">
        <v>24</v>
      </c>
      <c r="C25" s="38">
        <v>387</v>
      </c>
      <c r="D25" s="38">
        <v>3195</v>
      </c>
      <c r="E25" s="38">
        <v>770</v>
      </c>
      <c r="F25" s="38">
        <v>2925</v>
      </c>
      <c r="G25" s="38"/>
      <c r="H25" s="38">
        <v>1775</v>
      </c>
      <c r="I25" s="38">
        <v>77</v>
      </c>
      <c r="J25" s="38">
        <v>300</v>
      </c>
      <c r="K25" s="38">
        <v>5408</v>
      </c>
      <c r="L25" s="38">
        <v>204</v>
      </c>
      <c r="M25" s="38"/>
      <c r="N25" s="38"/>
      <c r="O25" s="38">
        <v>7320</v>
      </c>
      <c r="P25" s="38">
        <v>72</v>
      </c>
      <c r="Q25" s="38">
        <v>1889</v>
      </c>
      <c r="R25" s="38">
        <v>315</v>
      </c>
      <c r="S25" s="38">
        <v>141</v>
      </c>
      <c r="T25" s="38">
        <v>68</v>
      </c>
      <c r="U25" s="38">
        <v>105</v>
      </c>
      <c r="V25" s="38">
        <v>461</v>
      </c>
      <c r="W25" s="38">
        <v>105</v>
      </c>
      <c r="X25" s="38">
        <v>748</v>
      </c>
      <c r="Y25" s="38">
        <v>181</v>
      </c>
      <c r="Z25" s="38">
        <v>973</v>
      </c>
      <c r="AA25" s="38"/>
      <c r="AB25" s="38">
        <v>381</v>
      </c>
      <c r="AC25" s="38"/>
      <c r="AD25" s="38">
        <v>1000</v>
      </c>
      <c r="AE25" s="38">
        <v>201</v>
      </c>
      <c r="AF25" s="38">
        <v>131</v>
      </c>
      <c r="AG25" s="38">
        <v>68</v>
      </c>
      <c r="AH25" s="38"/>
      <c r="AI25" s="38"/>
      <c r="AJ25" s="38"/>
      <c r="AK25" s="38"/>
      <c r="AL25" s="38"/>
      <c r="AM25" s="38">
        <v>445</v>
      </c>
      <c r="AN25" s="38"/>
      <c r="AO25" s="38">
        <v>133</v>
      </c>
      <c r="AP25" s="38"/>
      <c r="AQ25" s="38">
        <v>87</v>
      </c>
      <c r="AR25" s="38"/>
      <c r="AS25" s="38">
        <v>926</v>
      </c>
      <c r="AT25" s="38">
        <v>391</v>
      </c>
      <c r="AU25" s="38">
        <v>0</v>
      </c>
      <c r="AV25" s="223">
        <f t="shared" si="0"/>
        <v>31182</v>
      </c>
    </row>
    <row r="26" spans="2:48" ht="14.25">
      <c r="B26" s="225" t="s">
        <v>25</v>
      </c>
      <c r="C26" s="38">
        <v>609</v>
      </c>
      <c r="D26" s="38">
        <v>3151</v>
      </c>
      <c r="E26" s="38">
        <v>749</v>
      </c>
      <c r="F26" s="38">
        <v>2950</v>
      </c>
      <c r="G26" s="38"/>
      <c r="H26" s="38">
        <v>1632</v>
      </c>
      <c r="I26" s="38">
        <v>66</v>
      </c>
      <c r="J26" s="38">
        <v>220</v>
      </c>
      <c r="K26" s="38">
        <v>5970</v>
      </c>
      <c r="L26" s="38">
        <v>198</v>
      </c>
      <c r="M26" s="38"/>
      <c r="N26" s="38"/>
      <c r="O26" s="38">
        <v>7280</v>
      </c>
      <c r="P26" s="38">
        <v>91</v>
      </c>
      <c r="Q26" s="38">
        <v>2170</v>
      </c>
      <c r="R26" s="38">
        <v>323</v>
      </c>
      <c r="S26" s="38">
        <v>139</v>
      </c>
      <c r="T26" s="38">
        <v>138</v>
      </c>
      <c r="U26" s="38">
        <v>93</v>
      </c>
      <c r="V26" s="38">
        <v>525</v>
      </c>
      <c r="W26" s="38">
        <v>93</v>
      </c>
      <c r="X26" s="38">
        <v>731</v>
      </c>
      <c r="Y26" s="38">
        <v>195</v>
      </c>
      <c r="Z26" s="38">
        <v>961</v>
      </c>
      <c r="AA26" s="38"/>
      <c r="AB26" s="38">
        <v>307</v>
      </c>
      <c r="AC26" s="38"/>
      <c r="AD26" s="38">
        <v>919</v>
      </c>
      <c r="AE26" s="38">
        <v>131</v>
      </c>
      <c r="AF26" s="38">
        <v>133</v>
      </c>
      <c r="AG26" s="38"/>
      <c r="AH26" s="38"/>
      <c r="AI26" s="38"/>
      <c r="AJ26" s="38"/>
      <c r="AK26" s="38"/>
      <c r="AL26" s="38"/>
      <c r="AM26" s="38">
        <v>569</v>
      </c>
      <c r="AN26" s="38"/>
      <c r="AO26" s="38">
        <v>114</v>
      </c>
      <c r="AP26" s="38"/>
      <c r="AQ26" s="38">
        <v>96</v>
      </c>
      <c r="AR26" s="38"/>
      <c r="AS26" s="38">
        <v>900</v>
      </c>
      <c r="AT26" s="38">
        <v>555</v>
      </c>
      <c r="AU26" s="38"/>
      <c r="AV26" s="223">
        <f t="shared" si="0"/>
        <v>32008</v>
      </c>
    </row>
    <row r="27" spans="2:48" ht="14.25">
      <c r="B27" s="225" t="s">
        <v>26</v>
      </c>
      <c r="C27" s="38">
        <v>767</v>
      </c>
      <c r="D27" s="38">
        <v>3121</v>
      </c>
      <c r="E27" s="38">
        <v>803</v>
      </c>
      <c r="F27" s="38">
        <v>3125</v>
      </c>
      <c r="G27" s="38"/>
      <c r="H27" s="38">
        <v>1688</v>
      </c>
      <c r="I27" s="38">
        <v>84</v>
      </c>
      <c r="J27" s="38">
        <v>240</v>
      </c>
      <c r="K27" s="38">
        <v>6089</v>
      </c>
      <c r="L27" s="38">
        <v>189</v>
      </c>
      <c r="M27" s="38"/>
      <c r="N27" s="38">
        <v>136</v>
      </c>
      <c r="O27" s="38">
        <v>7736</v>
      </c>
      <c r="P27" s="38">
        <v>66</v>
      </c>
      <c r="Q27" s="38">
        <v>2291</v>
      </c>
      <c r="R27" s="38">
        <v>359</v>
      </c>
      <c r="S27" s="38">
        <v>154</v>
      </c>
      <c r="T27" s="38">
        <v>100</v>
      </c>
      <c r="U27" s="38">
        <v>93</v>
      </c>
      <c r="V27" s="38">
        <v>388</v>
      </c>
      <c r="W27" s="38">
        <v>93</v>
      </c>
      <c r="X27" s="38">
        <v>742</v>
      </c>
      <c r="Y27" s="38">
        <v>459</v>
      </c>
      <c r="Z27" s="38">
        <v>902</v>
      </c>
      <c r="AA27" s="38"/>
      <c r="AB27" s="38">
        <v>304</v>
      </c>
      <c r="AC27" s="38"/>
      <c r="AD27" s="38">
        <v>873</v>
      </c>
      <c r="AE27" s="38">
        <v>209</v>
      </c>
      <c r="AF27" s="38">
        <v>33</v>
      </c>
      <c r="AG27" s="38">
        <v>141</v>
      </c>
      <c r="AH27" s="38"/>
      <c r="AI27" s="38"/>
      <c r="AJ27" s="38"/>
      <c r="AK27" s="38"/>
      <c r="AL27" s="38"/>
      <c r="AM27" s="38">
        <v>525</v>
      </c>
      <c r="AN27" s="38"/>
      <c r="AO27" s="38">
        <v>97</v>
      </c>
      <c r="AP27" s="38"/>
      <c r="AQ27" s="38">
        <v>88</v>
      </c>
      <c r="AR27" s="38"/>
      <c r="AS27" s="38">
        <v>971</v>
      </c>
      <c r="AT27" s="38">
        <v>686</v>
      </c>
      <c r="AU27" s="38"/>
      <c r="AV27" s="223">
        <f t="shared" si="0"/>
        <v>33552</v>
      </c>
    </row>
    <row r="28" spans="2:48" ht="14.25">
      <c r="B28" s="225" t="s">
        <v>27</v>
      </c>
      <c r="C28" s="38">
        <v>783</v>
      </c>
      <c r="D28" s="38">
        <v>3282</v>
      </c>
      <c r="E28" s="38">
        <v>564</v>
      </c>
      <c r="F28" s="38">
        <v>3265</v>
      </c>
      <c r="G28" s="38"/>
      <c r="H28" s="38">
        <v>1711</v>
      </c>
      <c r="I28" s="38">
        <v>164</v>
      </c>
      <c r="J28" s="38">
        <v>255</v>
      </c>
      <c r="K28" s="38">
        <v>6264</v>
      </c>
      <c r="L28" s="38">
        <v>181</v>
      </c>
      <c r="M28" s="38"/>
      <c r="N28" s="38">
        <v>254</v>
      </c>
      <c r="O28" s="38">
        <v>7812</v>
      </c>
      <c r="P28" s="38">
        <v>46</v>
      </c>
      <c r="Q28" s="38">
        <v>2481</v>
      </c>
      <c r="R28" s="38">
        <v>345</v>
      </c>
      <c r="S28" s="38">
        <v>120</v>
      </c>
      <c r="T28" s="38">
        <v>65</v>
      </c>
      <c r="U28" s="38">
        <v>66</v>
      </c>
      <c r="V28" s="38">
        <v>347</v>
      </c>
      <c r="W28" s="38">
        <v>66</v>
      </c>
      <c r="X28" s="38">
        <v>757</v>
      </c>
      <c r="Y28" s="38">
        <v>570</v>
      </c>
      <c r="Z28" s="38">
        <v>785</v>
      </c>
      <c r="AA28" s="38"/>
      <c r="AB28" s="38">
        <v>365</v>
      </c>
      <c r="AC28" s="38"/>
      <c r="AD28" s="38">
        <v>929</v>
      </c>
      <c r="AE28" s="38">
        <v>210</v>
      </c>
      <c r="AF28" s="38">
        <v>48</v>
      </c>
      <c r="AG28" s="38">
        <v>227</v>
      </c>
      <c r="AH28" s="38"/>
      <c r="AI28" s="38"/>
      <c r="AJ28" s="38"/>
      <c r="AK28" s="38"/>
      <c r="AL28" s="38"/>
      <c r="AM28" s="38">
        <v>514</v>
      </c>
      <c r="AN28" s="38"/>
      <c r="AO28" s="38">
        <v>99</v>
      </c>
      <c r="AP28" s="38"/>
      <c r="AQ28" s="38">
        <v>82</v>
      </c>
      <c r="AR28" s="38"/>
      <c r="AS28" s="38">
        <v>937</v>
      </c>
      <c r="AT28" s="38">
        <v>852</v>
      </c>
      <c r="AU28" s="38" t="s">
        <v>185</v>
      </c>
      <c r="AV28" s="223">
        <f t="shared" si="0"/>
        <v>34446</v>
      </c>
    </row>
    <row r="29" spans="2:48" ht="14.25">
      <c r="B29" s="225" t="s">
        <v>28</v>
      </c>
      <c r="C29" s="38">
        <v>794</v>
      </c>
      <c r="D29" s="38">
        <v>3338</v>
      </c>
      <c r="E29" s="38">
        <v>682</v>
      </c>
      <c r="F29" s="38">
        <v>3379</v>
      </c>
      <c r="G29" s="38"/>
      <c r="H29" s="38">
        <v>1792</v>
      </c>
      <c r="I29" s="38">
        <v>158</v>
      </c>
      <c r="J29" s="38">
        <v>243</v>
      </c>
      <c r="K29" s="38">
        <v>6372</v>
      </c>
      <c r="L29" s="38">
        <v>238</v>
      </c>
      <c r="M29" s="38"/>
      <c r="N29" s="38">
        <v>138</v>
      </c>
      <c r="O29" s="38">
        <v>8108</v>
      </c>
      <c r="P29" s="38"/>
      <c r="Q29" s="38">
        <v>2616</v>
      </c>
      <c r="R29" s="38">
        <v>332</v>
      </c>
      <c r="S29" s="38">
        <v>120</v>
      </c>
      <c r="T29" s="38">
        <v>169</v>
      </c>
      <c r="U29" s="38">
        <v>65</v>
      </c>
      <c r="V29" s="38">
        <v>392</v>
      </c>
      <c r="W29" s="38">
        <v>65</v>
      </c>
      <c r="X29" s="38">
        <v>818</v>
      </c>
      <c r="Y29" s="38">
        <v>544</v>
      </c>
      <c r="Z29" s="38">
        <v>616</v>
      </c>
      <c r="AA29" s="38"/>
      <c r="AB29" s="38">
        <v>330</v>
      </c>
      <c r="AC29" s="38"/>
      <c r="AD29" s="38">
        <v>1059</v>
      </c>
      <c r="AE29" s="38">
        <v>245</v>
      </c>
      <c r="AF29" s="38">
        <v>39</v>
      </c>
      <c r="AG29" s="38">
        <v>237</v>
      </c>
      <c r="AH29" s="38"/>
      <c r="AI29" s="38"/>
      <c r="AJ29" s="38"/>
      <c r="AK29" s="38"/>
      <c r="AL29" s="38"/>
      <c r="AM29" s="38">
        <v>479</v>
      </c>
      <c r="AN29" s="38"/>
      <c r="AO29" s="38">
        <v>57</v>
      </c>
      <c r="AP29" s="38"/>
      <c r="AQ29" s="38">
        <v>81</v>
      </c>
      <c r="AR29" s="38"/>
      <c r="AS29" s="38">
        <v>954</v>
      </c>
      <c r="AT29" s="38">
        <v>974</v>
      </c>
      <c r="AU29" s="38"/>
      <c r="AV29" s="223">
        <f t="shared" si="0"/>
        <v>35434</v>
      </c>
    </row>
    <row r="30" spans="2:48" s="178" customFormat="1" ht="14.25">
      <c r="B30" s="226" t="s">
        <v>29</v>
      </c>
      <c r="C30" s="227">
        <f>'[1]VINC x Deportes y Categorias'!O5</f>
        <v>757</v>
      </c>
      <c r="D30" s="227">
        <f>'[1]VINC x Deportes y Categorias'!O6</f>
        <v>4121</v>
      </c>
      <c r="E30" s="227">
        <f>'[1]VINC x Deportes y Categorias'!O7</f>
        <v>655</v>
      </c>
      <c r="F30" s="227">
        <f>'[1]VINC x Deportes y Categorias'!O8</f>
        <v>3408</v>
      </c>
      <c r="G30" s="227"/>
      <c r="H30" s="227">
        <f>'[1]VINC x Deportes y Categorias'!O9</f>
        <v>1721</v>
      </c>
      <c r="I30" s="227">
        <f>'[1]VINC x Deportes y Categorias'!O10</f>
        <v>134</v>
      </c>
      <c r="J30" s="227">
        <f>'[1]VINC x Deportes y Categorias'!O11</f>
        <v>251</v>
      </c>
      <c r="K30" s="227">
        <f>'[1]VINC x Deportes y Categorias'!O12</f>
        <v>5478</v>
      </c>
      <c r="L30" s="227">
        <f>'[1]VINC x Deportes y Categorias'!O13</f>
        <v>190</v>
      </c>
      <c r="M30" s="227"/>
      <c r="N30" s="227">
        <f>'[1]VINC x Deportes y Categorias'!O14</f>
        <v>114</v>
      </c>
      <c r="O30" s="227">
        <f>'[1]VINC x Deportes y Categorias'!O15</f>
        <v>8580</v>
      </c>
      <c r="P30" s="227">
        <f>'[1]VINC x Deportes y Categorias'!O16</f>
        <v>0</v>
      </c>
      <c r="Q30" s="227">
        <f>'[1]VINC x Deportes y Categorias'!O17</f>
        <v>2381</v>
      </c>
      <c r="R30" s="227">
        <f>'[1]VINC x Deportes y Categorias'!O18</f>
        <v>290</v>
      </c>
      <c r="S30" s="227">
        <f>'[1]VINC x Deportes y Categorias'!O19</f>
        <v>82</v>
      </c>
      <c r="T30" s="227">
        <f>'[1]VINC x Deportes y Categorias'!O20</f>
        <v>155</v>
      </c>
      <c r="U30" s="227">
        <f>'[1]VINC x Deportes y Categorias'!O21</f>
        <v>65</v>
      </c>
      <c r="V30" s="227">
        <f>'[1]VINC x Deportes y Categorias'!O22</f>
        <v>354</v>
      </c>
      <c r="W30" s="227">
        <f>'[1]VINC x Deportes y Categorias'!O23</f>
        <v>65</v>
      </c>
      <c r="X30" s="227">
        <f>'[1]VINC x Deportes y Categorias'!O24</f>
        <v>754</v>
      </c>
      <c r="Y30" s="227">
        <f>'[1]VINC x Deportes y Categorias'!O25</f>
        <v>429</v>
      </c>
      <c r="Z30" s="227">
        <f>'[1]VINC x Deportes y Categorias'!O26</f>
        <v>394</v>
      </c>
      <c r="AA30" s="227"/>
      <c r="AB30" s="227">
        <f>'[1]VINC x Deportes y Categorias'!O27</f>
        <v>299</v>
      </c>
      <c r="AC30" s="227"/>
      <c r="AD30" s="227">
        <f>'[1]VINC x Deportes y Categorias'!O28</f>
        <v>1017</v>
      </c>
      <c r="AE30" s="227">
        <f>'[1]VINC x Deportes y Categorias'!O29</f>
        <v>247</v>
      </c>
      <c r="AF30" s="227">
        <f>'[1]VINC x Deportes y Categorias'!O30</f>
        <v>62</v>
      </c>
      <c r="AG30" s="227">
        <f>'[1]VINC x Deportes y Categorias'!O31</f>
        <v>283</v>
      </c>
      <c r="AH30" s="227"/>
      <c r="AI30" s="227"/>
      <c r="AJ30" s="227"/>
      <c r="AK30" s="227"/>
      <c r="AL30" s="227"/>
      <c r="AM30" s="227">
        <f>'[1]VINC x Deportes y Categorias'!O32</f>
        <v>412</v>
      </c>
      <c r="AN30" s="227"/>
      <c r="AO30" s="227">
        <f>'[1]VINC x Deportes y Categorias'!O33</f>
        <v>86</v>
      </c>
      <c r="AP30" s="227"/>
      <c r="AQ30" s="227">
        <f>'[1]VINC x Deportes y Categorias'!O34</f>
        <v>96</v>
      </c>
      <c r="AR30" s="227"/>
      <c r="AS30" s="227">
        <f>'[1]VINC x Deportes y Categorias'!O35</f>
        <v>992</v>
      </c>
      <c r="AT30" s="227">
        <f>'[1]VINC x Deportes y Categorias'!O36</f>
        <v>942</v>
      </c>
      <c r="AU30" s="227">
        <f>'[1]VINC x Deportes y Categorias'!AW5</f>
        <v>0</v>
      </c>
      <c r="AV30" s="223">
        <f t="shared" si="0"/>
        <v>34814</v>
      </c>
    </row>
    <row r="31" spans="2:48" s="178" customFormat="1" ht="14.25">
      <c r="B31" s="225" t="s">
        <v>110</v>
      </c>
      <c r="C31" s="227">
        <v>849</v>
      </c>
      <c r="D31" s="227">
        <v>2483</v>
      </c>
      <c r="E31" s="227">
        <v>486</v>
      </c>
      <c r="F31" s="227">
        <v>3216</v>
      </c>
      <c r="G31" s="227"/>
      <c r="H31" s="227">
        <v>1595</v>
      </c>
      <c r="I31" s="227">
        <v>197</v>
      </c>
      <c r="J31" s="227">
        <v>203</v>
      </c>
      <c r="K31" s="227">
        <v>6087</v>
      </c>
      <c r="L31" s="227">
        <v>233</v>
      </c>
      <c r="M31" s="227"/>
      <c r="N31" s="227">
        <v>237</v>
      </c>
      <c r="O31" s="227">
        <v>8776</v>
      </c>
      <c r="P31" s="227"/>
      <c r="Q31" s="227">
        <v>2174</v>
      </c>
      <c r="R31" s="227">
        <v>295</v>
      </c>
      <c r="S31" s="227">
        <v>117</v>
      </c>
      <c r="T31" s="227">
        <v>42</v>
      </c>
      <c r="U31" s="227">
        <v>46</v>
      </c>
      <c r="V31" s="227">
        <v>238</v>
      </c>
      <c r="W31" s="227">
        <v>46</v>
      </c>
      <c r="X31" s="227">
        <v>820</v>
      </c>
      <c r="Y31" s="227">
        <v>559</v>
      </c>
      <c r="Z31" s="227">
        <v>202</v>
      </c>
      <c r="AA31" s="227"/>
      <c r="AB31" s="227">
        <v>452</v>
      </c>
      <c r="AC31" s="227"/>
      <c r="AD31" s="227">
        <v>686</v>
      </c>
      <c r="AE31" s="227">
        <v>206</v>
      </c>
      <c r="AF31" s="227">
        <v>51</v>
      </c>
      <c r="AG31" s="227">
        <v>246</v>
      </c>
      <c r="AH31" s="227"/>
      <c r="AI31" s="227"/>
      <c r="AJ31" s="227"/>
      <c r="AK31" s="227"/>
      <c r="AL31" s="227">
        <v>104</v>
      </c>
      <c r="AM31" s="227">
        <v>347</v>
      </c>
      <c r="AN31" s="227"/>
      <c r="AO31" s="227">
        <v>20</v>
      </c>
      <c r="AP31" s="227">
        <v>51</v>
      </c>
      <c r="AQ31" s="227">
        <v>122</v>
      </c>
      <c r="AR31" s="227"/>
      <c r="AS31" s="227">
        <v>1237</v>
      </c>
      <c r="AT31" s="227">
        <v>1176</v>
      </c>
      <c r="AU31" s="227"/>
      <c r="AV31" s="223">
        <f t="shared" si="0"/>
        <v>33599</v>
      </c>
    </row>
    <row r="32" spans="2:48" s="178" customFormat="1" ht="14.25">
      <c r="B32" s="225" t="s">
        <v>188</v>
      </c>
      <c r="C32" s="228">
        <v>1359</v>
      </c>
      <c r="D32" s="228">
        <v>6956</v>
      </c>
      <c r="E32" s="228">
        <v>379</v>
      </c>
      <c r="F32" s="228">
        <v>3478</v>
      </c>
      <c r="G32" s="228"/>
      <c r="H32" s="228">
        <v>1766</v>
      </c>
      <c r="I32" s="228">
        <v>220</v>
      </c>
      <c r="J32" s="228">
        <v>211</v>
      </c>
      <c r="K32" s="228"/>
      <c r="L32" s="228">
        <v>274</v>
      </c>
      <c r="M32" s="228"/>
      <c r="N32" s="228">
        <v>172</v>
      </c>
      <c r="O32" s="228">
        <v>8784</v>
      </c>
      <c r="P32" s="228"/>
      <c r="Q32" s="228">
        <v>2305</v>
      </c>
      <c r="R32" s="228">
        <v>240</v>
      </c>
      <c r="S32" s="228">
        <v>148</v>
      </c>
      <c r="T32" s="228">
        <v>67</v>
      </c>
      <c r="U32" s="228">
        <v>51</v>
      </c>
      <c r="V32" s="228">
        <v>269</v>
      </c>
      <c r="W32" s="228">
        <v>51</v>
      </c>
      <c r="X32" s="228">
        <v>919</v>
      </c>
      <c r="Y32" s="228">
        <v>577</v>
      </c>
      <c r="Z32" s="228">
        <v>394</v>
      </c>
      <c r="AA32" s="228">
        <v>124</v>
      </c>
      <c r="AB32" s="228">
        <v>478</v>
      </c>
      <c r="AC32" s="228"/>
      <c r="AD32" s="228">
        <v>627</v>
      </c>
      <c r="AE32" s="228">
        <v>264</v>
      </c>
      <c r="AF32" s="228">
        <v>63</v>
      </c>
      <c r="AG32" s="228">
        <v>281</v>
      </c>
      <c r="AH32" s="228"/>
      <c r="AI32" s="228"/>
      <c r="AJ32" s="228"/>
      <c r="AK32" s="228"/>
      <c r="AL32" s="228">
        <v>64</v>
      </c>
      <c r="AM32" s="228">
        <v>361</v>
      </c>
      <c r="AN32" s="228">
        <v>42</v>
      </c>
      <c r="AO32" s="228">
        <v>81</v>
      </c>
      <c r="AP32" s="228">
        <v>44</v>
      </c>
      <c r="AQ32" s="228">
        <v>156</v>
      </c>
      <c r="AR32" s="228">
        <v>23</v>
      </c>
      <c r="AS32" s="228">
        <v>1370</v>
      </c>
      <c r="AT32" s="228">
        <v>1238</v>
      </c>
      <c r="AU32" s="228"/>
      <c r="AV32" s="223">
        <f aca="true" t="shared" si="1" ref="AV32:AV38">SUM(C32:AU32)</f>
        <v>33836</v>
      </c>
    </row>
    <row r="33" spans="2:48" s="178" customFormat="1" ht="14.25">
      <c r="B33" s="225" t="s">
        <v>193</v>
      </c>
      <c r="C33" s="228">
        <v>1415</v>
      </c>
      <c r="D33" s="228">
        <v>9046</v>
      </c>
      <c r="E33" s="228">
        <v>237</v>
      </c>
      <c r="F33" s="228">
        <v>3685</v>
      </c>
      <c r="G33" s="228"/>
      <c r="H33" s="228">
        <v>1777</v>
      </c>
      <c r="I33" s="228">
        <v>247</v>
      </c>
      <c r="J33" s="228">
        <v>181</v>
      </c>
      <c r="K33" s="228"/>
      <c r="L33" s="228">
        <v>297</v>
      </c>
      <c r="M33" s="228"/>
      <c r="N33" s="228">
        <v>187</v>
      </c>
      <c r="O33" s="228">
        <v>8788</v>
      </c>
      <c r="P33" s="228"/>
      <c r="Q33" s="228">
        <v>2351</v>
      </c>
      <c r="R33" s="228">
        <v>282</v>
      </c>
      <c r="S33" s="228">
        <v>150</v>
      </c>
      <c r="T33" s="228">
        <v>40</v>
      </c>
      <c r="U33" s="228">
        <v>73</v>
      </c>
      <c r="V33" s="228">
        <v>309</v>
      </c>
      <c r="W33" s="228">
        <v>73</v>
      </c>
      <c r="X33" s="228">
        <v>952</v>
      </c>
      <c r="Y33" s="228">
        <v>679</v>
      </c>
      <c r="Z33" s="228">
        <v>244</v>
      </c>
      <c r="AA33" s="228">
        <v>110</v>
      </c>
      <c r="AB33" s="228">
        <v>744</v>
      </c>
      <c r="AC33" s="228"/>
      <c r="AD33" s="228">
        <v>575</v>
      </c>
      <c r="AE33" s="228">
        <v>230</v>
      </c>
      <c r="AF33" s="228">
        <v>85</v>
      </c>
      <c r="AG33" s="228">
        <v>324</v>
      </c>
      <c r="AH33" s="228"/>
      <c r="AI33" s="228"/>
      <c r="AJ33" s="228"/>
      <c r="AK33" s="228"/>
      <c r="AL33" s="228">
        <v>60</v>
      </c>
      <c r="AM33" s="228">
        <v>354</v>
      </c>
      <c r="AN33" s="228"/>
      <c r="AO33" s="228">
        <v>76</v>
      </c>
      <c r="AP33" s="228">
        <v>54</v>
      </c>
      <c r="AQ33" s="228">
        <v>151</v>
      </c>
      <c r="AR33" s="228">
        <v>19</v>
      </c>
      <c r="AS33" s="228">
        <v>1586</v>
      </c>
      <c r="AT33" s="228">
        <v>1371</v>
      </c>
      <c r="AU33" s="228"/>
      <c r="AV33" s="223">
        <f t="shared" si="1"/>
        <v>36752</v>
      </c>
    </row>
    <row r="34" spans="2:48" ht="14.25">
      <c r="B34" s="225" t="s">
        <v>194</v>
      </c>
      <c r="C34" s="228">
        <f>1522+32</f>
        <v>1554</v>
      </c>
      <c r="D34" s="228">
        <f>5886+1049+7+47+970+518</f>
        <v>8477</v>
      </c>
      <c r="E34" s="228">
        <v>455</v>
      </c>
      <c r="F34" s="228">
        <v>3964</v>
      </c>
      <c r="G34" s="228"/>
      <c r="H34" s="228">
        <v>1756</v>
      </c>
      <c r="I34" s="228"/>
      <c r="J34" s="228">
        <f>32+138</f>
        <v>170</v>
      </c>
      <c r="K34" s="228"/>
      <c r="L34" s="228">
        <v>315</v>
      </c>
      <c r="M34" s="228"/>
      <c r="N34" s="228">
        <v>201</v>
      </c>
      <c r="O34" s="228">
        <v>9196</v>
      </c>
      <c r="P34" s="228"/>
      <c r="Q34" s="228">
        <f>770+57+624+239+116+37+120+105+56+96</f>
        <v>2220</v>
      </c>
      <c r="R34" s="228">
        <v>307</v>
      </c>
      <c r="S34" s="228">
        <v>192</v>
      </c>
      <c r="T34" s="228">
        <v>43</v>
      </c>
      <c r="U34" s="228">
        <v>38</v>
      </c>
      <c r="V34" s="228">
        <v>330</v>
      </c>
      <c r="W34" s="228">
        <v>38</v>
      </c>
      <c r="X34" s="228">
        <v>878</v>
      </c>
      <c r="Y34" s="228">
        <v>492</v>
      </c>
      <c r="Z34" s="228">
        <v>276</v>
      </c>
      <c r="AA34" s="228">
        <v>83</v>
      </c>
      <c r="AB34" s="228">
        <v>824</v>
      </c>
      <c r="AC34" s="228"/>
      <c r="AD34" s="228">
        <f>432+55</f>
        <v>487</v>
      </c>
      <c r="AE34" s="228">
        <v>202</v>
      </c>
      <c r="AF34" s="228">
        <v>76</v>
      </c>
      <c r="AG34" s="228">
        <v>411</v>
      </c>
      <c r="AH34" s="228">
        <v>316</v>
      </c>
      <c r="AI34" s="228">
        <v>12</v>
      </c>
      <c r="AJ34" s="228"/>
      <c r="AK34" s="228"/>
      <c r="AL34" s="228">
        <v>77</v>
      </c>
      <c r="AM34" s="228">
        <v>425</v>
      </c>
      <c r="AN34" s="228"/>
      <c r="AO34" s="228">
        <v>63</v>
      </c>
      <c r="AP34" s="228">
        <v>44</v>
      </c>
      <c r="AQ34" s="228">
        <v>273</v>
      </c>
      <c r="AR34" s="228">
        <v>18</v>
      </c>
      <c r="AS34" s="228">
        <v>1672</v>
      </c>
      <c r="AT34" s="228">
        <v>1487</v>
      </c>
      <c r="AU34" s="228"/>
      <c r="AV34" s="223">
        <f t="shared" si="1"/>
        <v>37372</v>
      </c>
    </row>
    <row r="35" spans="2:48" ht="14.25">
      <c r="B35" s="225" t="s">
        <v>228</v>
      </c>
      <c r="C35" s="228">
        <v>1436</v>
      </c>
      <c r="D35" s="228">
        <v>8448</v>
      </c>
      <c r="E35" s="228">
        <v>255</v>
      </c>
      <c r="F35" s="228">
        <v>3935</v>
      </c>
      <c r="G35" s="228"/>
      <c r="H35" s="228">
        <v>1707</v>
      </c>
      <c r="I35" s="228">
        <v>177</v>
      </c>
      <c r="J35" s="228">
        <v>110</v>
      </c>
      <c r="K35" s="228"/>
      <c r="L35" s="228">
        <v>326</v>
      </c>
      <c r="M35" s="228"/>
      <c r="N35" s="228">
        <v>85</v>
      </c>
      <c r="O35" s="228">
        <v>9384</v>
      </c>
      <c r="P35" s="228"/>
      <c r="Q35" s="228">
        <v>2335</v>
      </c>
      <c r="R35" s="228">
        <v>276</v>
      </c>
      <c r="S35" s="228">
        <v>215</v>
      </c>
      <c r="T35" s="228">
        <v>46</v>
      </c>
      <c r="U35" s="228">
        <v>67</v>
      </c>
      <c r="V35" s="228">
        <v>355</v>
      </c>
      <c r="W35" s="228">
        <v>67</v>
      </c>
      <c r="X35" s="228">
        <v>1192</v>
      </c>
      <c r="Y35" s="228">
        <v>544</v>
      </c>
      <c r="Z35" s="228">
        <v>239</v>
      </c>
      <c r="AA35" s="228">
        <v>46</v>
      </c>
      <c r="AB35" s="228">
        <v>968</v>
      </c>
      <c r="AC35" s="228">
        <v>346</v>
      </c>
      <c r="AD35" s="228">
        <v>343</v>
      </c>
      <c r="AE35" s="228">
        <v>179</v>
      </c>
      <c r="AF35" s="228">
        <v>98</v>
      </c>
      <c r="AG35" s="228">
        <v>453</v>
      </c>
      <c r="AH35" s="228">
        <v>394</v>
      </c>
      <c r="AI35" s="228">
        <v>13</v>
      </c>
      <c r="AJ35" s="228"/>
      <c r="AK35" s="228"/>
      <c r="AL35" s="228">
        <v>121</v>
      </c>
      <c r="AM35" s="228">
        <v>603</v>
      </c>
      <c r="AN35" s="228">
        <v>105</v>
      </c>
      <c r="AO35" s="228">
        <v>121</v>
      </c>
      <c r="AP35" s="228">
        <v>35</v>
      </c>
      <c r="AQ35" s="228">
        <v>329</v>
      </c>
      <c r="AR35" s="228">
        <v>30</v>
      </c>
      <c r="AS35" s="228">
        <v>1644</v>
      </c>
      <c r="AT35" s="228">
        <v>1352</v>
      </c>
      <c r="AU35" s="228"/>
      <c r="AV35" s="223">
        <f t="shared" si="1"/>
        <v>38379</v>
      </c>
    </row>
    <row r="36" spans="2:48" ht="14.25">
      <c r="B36" s="225" t="s">
        <v>234</v>
      </c>
      <c r="C36" s="228">
        <v>1465</v>
      </c>
      <c r="D36" s="228">
        <f>5880+3059</f>
        <v>8939</v>
      </c>
      <c r="E36" s="228">
        <v>596</v>
      </c>
      <c r="F36" s="228">
        <f>3858+107</f>
        <v>3965</v>
      </c>
      <c r="G36" s="228"/>
      <c r="H36" s="228">
        <v>1681</v>
      </c>
      <c r="I36" s="228">
        <v>43</v>
      </c>
      <c r="J36" s="228">
        <f>23+91</f>
        <v>114</v>
      </c>
      <c r="K36" s="228"/>
      <c r="L36" s="228">
        <v>342</v>
      </c>
      <c r="M36" s="228">
        <v>39</v>
      </c>
      <c r="N36" s="228">
        <v>181</v>
      </c>
      <c r="O36" s="228">
        <v>9612</v>
      </c>
      <c r="P36" s="228"/>
      <c r="Q36" s="228">
        <f>946+1506</f>
        <v>2452</v>
      </c>
      <c r="R36" s="228">
        <v>287</v>
      </c>
      <c r="S36" s="228">
        <v>192</v>
      </c>
      <c r="T36" s="228">
        <v>52</v>
      </c>
      <c r="U36" s="228">
        <v>62</v>
      </c>
      <c r="V36" s="228">
        <v>321</v>
      </c>
      <c r="W36" s="228">
        <v>62</v>
      </c>
      <c r="X36" s="228">
        <v>1323</v>
      </c>
      <c r="Y36" s="228">
        <v>508</v>
      </c>
      <c r="Z36" s="228">
        <v>272</v>
      </c>
      <c r="AA36" s="228"/>
      <c r="AB36" s="228">
        <v>1383</v>
      </c>
      <c r="AC36" s="228">
        <v>184</v>
      </c>
      <c r="AD36" s="228">
        <v>390</v>
      </c>
      <c r="AE36" s="228">
        <v>187</v>
      </c>
      <c r="AF36" s="228">
        <v>88</v>
      </c>
      <c r="AG36" s="228">
        <v>459</v>
      </c>
      <c r="AH36" s="228">
        <v>383</v>
      </c>
      <c r="AI36" s="228">
        <v>27</v>
      </c>
      <c r="AJ36" s="228">
        <v>16</v>
      </c>
      <c r="AK36" s="228">
        <v>59</v>
      </c>
      <c r="AL36" s="228">
        <v>131</v>
      </c>
      <c r="AM36" s="228">
        <v>572</v>
      </c>
      <c r="AN36" s="228">
        <v>94</v>
      </c>
      <c r="AO36" s="228">
        <v>124</v>
      </c>
      <c r="AP36" s="228">
        <v>125</v>
      </c>
      <c r="AQ36" s="228">
        <v>247</v>
      </c>
      <c r="AR36" s="228">
        <v>24</v>
      </c>
      <c r="AS36" s="228">
        <v>1665</v>
      </c>
      <c r="AT36" s="228">
        <v>1305</v>
      </c>
      <c r="AU36" s="228"/>
      <c r="AV36" s="233">
        <f t="shared" si="1"/>
        <v>39971</v>
      </c>
    </row>
    <row r="37" spans="2:48" ht="14.25">
      <c r="B37" s="225" t="s">
        <v>241</v>
      </c>
      <c r="C37" s="238">
        <v>1297</v>
      </c>
      <c r="D37" s="238">
        <f>5727+107+520+235+1292+307+792</f>
        <v>8980</v>
      </c>
      <c r="E37" s="238">
        <v>538</v>
      </c>
      <c r="F37" s="238">
        <v>3942</v>
      </c>
      <c r="G37" s="238"/>
      <c r="H37" s="238">
        <v>1852</v>
      </c>
      <c r="I37" s="238">
        <v>0</v>
      </c>
      <c r="J37" s="238">
        <v>0</v>
      </c>
      <c r="K37" s="238"/>
      <c r="L37" s="238">
        <v>311</v>
      </c>
      <c r="M37" s="238">
        <v>0</v>
      </c>
      <c r="N37" s="238">
        <v>0</v>
      </c>
      <c r="O37" s="238">
        <v>9992</v>
      </c>
      <c r="P37" s="238"/>
      <c r="Q37" s="238">
        <f>973+1090</f>
        <v>2063</v>
      </c>
      <c r="R37" s="238">
        <v>0</v>
      </c>
      <c r="S37" s="238"/>
      <c r="T37" s="238">
        <v>6</v>
      </c>
      <c r="U37" s="238">
        <v>214</v>
      </c>
      <c r="V37" s="238">
        <v>242</v>
      </c>
      <c r="W37" s="238">
        <v>214</v>
      </c>
      <c r="X37" s="238">
        <v>1089</v>
      </c>
      <c r="Y37" s="238">
        <v>451</v>
      </c>
      <c r="Z37" s="238">
        <v>230</v>
      </c>
      <c r="AA37" s="238">
        <v>0</v>
      </c>
      <c r="AB37" s="238">
        <v>0</v>
      </c>
      <c r="AC37" s="238">
        <v>156</v>
      </c>
      <c r="AD37" s="238">
        <v>231</v>
      </c>
      <c r="AE37" s="238">
        <v>171</v>
      </c>
      <c r="AF37" s="238">
        <v>0</v>
      </c>
      <c r="AG37" s="238">
        <v>552</v>
      </c>
      <c r="AH37" s="238">
        <v>0</v>
      </c>
      <c r="AI37" s="238">
        <v>0</v>
      </c>
      <c r="AJ37" s="238">
        <v>0</v>
      </c>
      <c r="AK37" s="238">
        <v>0</v>
      </c>
      <c r="AL37" s="238">
        <v>170</v>
      </c>
      <c r="AM37" s="238">
        <v>442</v>
      </c>
      <c r="AN37" s="238">
        <v>0</v>
      </c>
      <c r="AO37" s="238">
        <v>103</v>
      </c>
      <c r="AP37" s="238">
        <v>123</v>
      </c>
      <c r="AQ37" s="238">
        <v>247</v>
      </c>
      <c r="AR37" s="238">
        <v>0</v>
      </c>
      <c r="AS37" s="238">
        <v>1536</v>
      </c>
      <c r="AT37" s="238">
        <v>0</v>
      </c>
      <c r="AU37" s="238"/>
      <c r="AV37" s="233">
        <f t="shared" si="1"/>
        <v>35152</v>
      </c>
    </row>
    <row r="38" spans="2:48" ht="14.25">
      <c r="B38" s="225" t="s">
        <v>242</v>
      </c>
      <c r="C38" s="259">
        <v>159</v>
      </c>
      <c r="D38" s="259">
        <f>1225+36+100+70</f>
        <v>1431</v>
      </c>
      <c r="E38" s="259">
        <v>72</v>
      </c>
      <c r="F38" s="259">
        <f>2469+17+13</f>
        <v>2499</v>
      </c>
      <c r="G38" s="259"/>
      <c r="H38" s="259">
        <v>1020</v>
      </c>
      <c r="I38" s="259">
        <v>46</v>
      </c>
      <c r="J38" s="259">
        <f>13+54</f>
        <v>67</v>
      </c>
      <c r="K38" s="259"/>
      <c r="L38" s="259">
        <v>343</v>
      </c>
      <c r="M38" s="259">
        <v>30</v>
      </c>
      <c r="N38" s="259">
        <v>6</v>
      </c>
      <c r="O38" s="259">
        <v>8004</v>
      </c>
      <c r="P38" s="259"/>
      <c r="Q38" s="259">
        <f>356+47+15</f>
        <v>418</v>
      </c>
      <c r="R38" s="259">
        <v>273</v>
      </c>
      <c r="S38" s="259"/>
      <c r="T38" s="259">
        <v>21</v>
      </c>
      <c r="U38" s="259"/>
      <c r="V38" s="259">
        <v>222</v>
      </c>
      <c r="W38" s="259"/>
      <c r="X38" s="259">
        <v>486</v>
      </c>
      <c r="Y38" s="259">
        <v>393</v>
      </c>
      <c r="Z38" s="259">
        <v>266</v>
      </c>
      <c r="AA38" s="259">
        <v>33</v>
      </c>
      <c r="AB38" s="259">
        <v>56</v>
      </c>
      <c r="AC38" s="259">
        <v>80</v>
      </c>
      <c r="AD38" s="259">
        <v>154</v>
      </c>
      <c r="AE38" s="259">
        <v>137</v>
      </c>
      <c r="AF38" s="259">
        <v>67</v>
      </c>
      <c r="AG38" s="259">
        <v>444</v>
      </c>
      <c r="AH38" s="259"/>
      <c r="AI38" s="259">
        <v>14</v>
      </c>
      <c r="AJ38" s="259"/>
      <c r="AK38" s="259">
        <v>54</v>
      </c>
      <c r="AL38" s="259">
        <v>80</v>
      </c>
      <c r="AM38" s="259">
        <v>602</v>
      </c>
      <c r="AN38" s="259"/>
      <c r="AO38" s="259">
        <v>40</v>
      </c>
      <c r="AP38" s="259">
        <v>40</v>
      </c>
      <c r="AQ38" s="259">
        <v>176</v>
      </c>
      <c r="AR38" s="259"/>
      <c r="AS38" s="259">
        <v>852</v>
      </c>
      <c r="AT38" s="259">
        <v>810</v>
      </c>
      <c r="AU38" s="259"/>
      <c r="AV38" s="233">
        <f t="shared" si="1"/>
        <v>19395</v>
      </c>
    </row>
    <row r="39" spans="2:48" ht="14.25">
      <c r="B39" s="225" t="s">
        <v>243</v>
      </c>
      <c r="C39" s="259">
        <v>1129</v>
      </c>
      <c r="D39" s="259">
        <v>6235</v>
      </c>
      <c r="E39" s="259">
        <v>283</v>
      </c>
      <c r="F39" s="259">
        <v>4129</v>
      </c>
      <c r="G39" s="259"/>
      <c r="H39" s="259">
        <v>1640</v>
      </c>
      <c r="I39" s="259">
        <v>115</v>
      </c>
      <c r="J39" s="259">
        <v>25</v>
      </c>
      <c r="K39" s="259"/>
      <c r="L39" s="259">
        <v>365</v>
      </c>
      <c r="M39" s="259">
        <v>13</v>
      </c>
      <c r="N39" s="259">
        <v>122</v>
      </c>
      <c r="O39" s="259">
        <v>9316</v>
      </c>
      <c r="P39" s="259"/>
      <c r="Q39" s="259">
        <v>1369</v>
      </c>
      <c r="R39" s="259">
        <v>253</v>
      </c>
      <c r="S39" s="259"/>
      <c r="T39" s="259">
        <v>22</v>
      </c>
      <c r="U39" s="259">
        <v>166</v>
      </c>
      <c r="V39" s="259">
        <v>251</v>
      </c>
      <c r="W39" s="259">
        <v>67</v>
      </c>
      <c r="X39" s="259">
        <v>1134</v>
      </c>
      <c r="Y39" s="259">
        <v>352</v>
      </c>
      <c r="Z39" s="259">
        <v>278</v>
      </c>
      <c r="AA39" s="259"/>
      <c r="AB39" s="259">
        <v>1380</v>
      </c>
      <c r="AC39" s="259">
        <v>123</v>
      </c>
      <c r="AD39" s="259">
        <v>486</v>
      </c>
      <c r="AE39" s="259">
        <v>122</v>
      </c>
      <c r="AF39" s="259">
        <v>145</v>
      </c>
      <c r="AG39" s="259">
        <v>437</v>
      </c>
      <c r="AH39" s="259">
        <v>454</v>
      </c>
      <c r="AI39" s="259">
        <v>14</v>
      </c>
      <c r="AJ39" s="259"/>
      <c r="AK39" s="259">
        <v>43</v>
      </c>
      <c r="AL39" s="259">
        <v>203</v>
      </c>
      <c r="AM39" s="259">
        <v>541</v>
      </c>
      <c r="AN39" s="259">
        <v>34</v>
      </c>
      <c r="AO39" s="259">
        <v>114</v>
      </c>
      <c r="AP39" s="259">
        <v>57</v>
      </c>
      <c r="AQ39" s="259">
        <v>214</v>
      </c>
      <c r="AR39" s="259">
        <v>20</v>
      </c>
      <c r="AS39" s="259">
        <v>1361</v>
      </c>
      <c r="AT39" s="259">
        <v>1174</v>
      </c>
      <c r="AU39" s="259"/>
      <c r="AV39" s="233">
        <v>34186</v>
      </c>
    </row>
    <row r="40" spans="2:48" ht="14.25">
      <c r="B40" s="260" t="s">
        <v>246</v>
      </c>
      <c r="C40" s="223">
        <f>507+662</f>
        <v>1169</v>
      </c>
      <c r="D40" s="223">
        <f>5791+615+636+3+1261+850+5</f>
        <v>9161</v>
      </c>
      <c r="E40" s="223">
        <v>243</v>
      </c>
      <c r="F40" s="223">
        <f>3839+44+134+18+33+12+37</f>
        <v>4117</v>
      </c>
      <c r="G40" s="223">
        <v>493</v>
      </c>
      <c r="H40" s="223">
        <v>1761</v>
      </c>
      <c r="I40" s="223">
        <v>97</v>
      </c>
      <c r="J40" s="223">
        <v>39</v>
      </c>
      <c r="K40" s="223"/>
      <c r="L40" s="223">
        <v>332</v>
      </c>
      <c r="M40" s="223">
        <v>24</v>
      </c>
      <c r="N40" s="223">
        <v>91</v>
      </c>
      <c r="O40" s="223">
        <v>9404</v>
      </c>
      <c r="P40" s="223"/>
      <c r="Q40" s="223">
        <f>855+24+101+436+166+61</f>
        <v>1643</v>
      </c>
      <c r="R40" s="223">
        <v>384</v>
      </c>
      <c r="S40" s="223"/>
      <c r="T40" s="223">
        <v>30</v>
      </c>
      <c r="U40" s="223">
        <v>219</v>
      </c>
      <c r="V40" s="223">
        <v>248</v>
      </c>
      <c r="W40" s="223">
        <v>180</v>
      </c>
      <c r="X40" s="223">
        <v>1283</v>
      </c>
      <c r="Y40" s="223">
        <v>577</v>
      </c>
      <c r="Z40" s="223">
        <v>44</v>
      </c>
      <c r="AA40" s="223">
        <v>68</v>
      </c>
      <c r="AB40" s="223">
        <v>1341</v>
      </c>
      <c r="AC40" s="223">
        <v>129</v>
      </c>
      <c r="AD40" s="223">
        <f>527+5</f>
        <v>532</v>
      </c>
      <c r="AE40" s="223">
        <v>198</v>
      </c>
      <c r="AF40" s="223">
        <v>110</v>
      </c>
      <c r="AG40" s="223">
        <v>551</v>
      </c>
      <c r="AH40" s="223">
        <v>316</v>
      </c>
      <c r="AI40" s="223">
        <v>21</v>
      </c>
      <c r="AJ40" s="223"/>
      <c r="AK40" s="223">
        <v>57</v>
      </c>
      <c r="AL40" s="223">
        <v>230</v>
      </c>
      <c r="AM40" s="223">
        <v>560</v>
      </c>
      <c r="AN40" s="223"/>
      <c r="AO40" s="223">
        <v>95</v>
      </c>
      <c r="AP40" s="223">
        <v>68</v>
      </c>
      <c r="AQ40" s="223">
        <v>258</v>
      </c>
      <c r="AR40" s="223">
        <v>9</v>
      </c>
      <c r="AS40" s="223">
        <v>1789</v>
      </c>
      <c r="AT40" s="223">
        <v>1565</v>
      </c>
      <c r="AU40" s="223"/>
      <c r="AV40" s="233">
        <f>SUM(C40:AU40)</f>
        <v>39436</v>
      </c>
    </row>
    <row r="41" spans="2:48" ht="13.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55"/>
      <c r="AR41" s="55"/>
      <c r="AS41" s="61"/>
      <c r="AV41"/>
    </row>
    <row r="42" spans="2:48" ht="1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55"/>
      <c r="AR42" s="55"/>
      <c r="AS42" s="61"/>
      <c r="AV42"/>
    </row>
    <row r="43" spans="3:8" ht="13.5">
      <c r="C43" s="5"/>
      <c r="D43" s="5"/>
      <c r="E43" s="5"/>
      <c r="F43" s="5"/>
      <c r="G43" s="5"/>
      <c r="H43" s="5"/>
    </row>
  </sheetData>
  <sheetProtection/>
  <printOptions horizontalCentered="1" verticalCentered="1"/>
  <pageMargins left="0.7" right="0.7" top="0.75" bottom="0.75" header="0.3" footer="0.3"/>
  <pageSetup horizontalDpi="1200" verticalDpi="1200" orientation="landscape" paperSize="9" scale="25" r:id="rId2"/>
  <rowBreaks count="1" manualBreakCount="1">
    <brk id="43" max="255" man="1"/>
  </rowBreaks>
  <colBreaks count="2" manualBreakCount="2">
    <brk id="40" max="36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9"/>
  <sheetViews>
    <sheetView zoomScalePageLayoutView="0" workbookViewId="0" topLeftCell="B1">
      <pane xSplit="1" ySplit="3" topLeftCell="X6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L28" sqref="AL28"/>
    </sheetView>
  </sheetViews>
  <sheetFormatPr defaultColWidth="12" defaultRowHeight="13.5"/>
  <cols>
    <col min="1" max="1" width="5.66015625" style="0" hidden="1" customWidth="1"/>
    <col min="2" max="2" width="32.66015625" style="0" customWidth="1"/>
    <col min="3" max="3" width="15" style="0" customWidth="1"/>
    <col min="4" max="6" width="13.16015625" style="0" customWidth="1"/>
    <col min="7" max="7" width="13.5" style="0" customWidth="1"/>
    <col min="8" max="8" width="14.16015625" style="0" customWidth="1"/>
    <col min="9" max="9" width="16.66015625" style="0" customWidth="1"/>
    <col min="10" max="10" width="18.5" style="0" customWidth="1"/>
    <col min="11" max="11" width="15.16015625" style="0" customWidth="1"/>
    <col min="12" max="12" width="14.16015625" style="3" customWidth="1"/>
    <col min="14" max="27" width="11.5" style="3" customWidth="1"/>
    <col min="28" max="33" width="14" style="0" customWidth="1"/>
    <col min="34" max="37" width="15" style="0" customWidth="1"/>
  </cols>
  <sheetData>
    <row r="1" spans="2:27" ht="14.25" customHeight="1">
      <c r="B1" s="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37" ht="15.75" customHeight="1">
      <c r="B2" s="4" t="s">
        <v>240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H2" s="6"/>
      <c r="AI2" s="6"/>
      <c r="AJ2" s="6"/>
      <c r="AK2" s="6"/>
    </row>
    <row r="3" spans="2:38" ht="28.5" customHeight="1"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  <c r="O3" s="8" t="s">
        <v>16</v>
      </c>
      <c r="P3" s="10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  <c r="AC3" s="12" t="s">
        <v>110</v>
      </c>
      <c r="AD3" s="12" t="s">
        <v>188</v>
      </c>
      <c r="AE3" s="12" t="s">
        <v>193</v>
      </c>
      <c r="AF3" s="12" t="s">
        <v>194</v>
      </c>
      <c r="AG3" s="230" t="s">
        <v>228</v>
      </c>
      <c r="AH3" s="230" t="s">
        <v>234</v>
      </c>
      <c r="AI3" s="230" t="s">
        <v>241</v>
      </c>
      <c r="AJ3" s="230" t="s">
        <v>242</v>
      </c>
      <c r="AK3" s="230" t="s">
        <v>243</v>
      </c>
      <c r="AL3" s="230" t="s">
        <v>246</v>
      </c>
    </row>
    <row r="4" spans="2:38" ht="15.75" customHeight="1">
      <c r="B4" s="13" t="s">
        <v>30</v>
      </c>
      <c r="C4" s="14">
        <v>130</v>
      </c>
      <c r="D4" s="14">
        <v>134</v>
      </c>
      <c r="E4" s="14">
        <v>193</v>
      </c>
      <c r="F4" s="14">
        <v>497</v>
      </c>
      <c r="G4" s="14">
        <v>525</v>
      </c>
      <c r="H4" s="14">
        <v>262</v>
      </c>
      <c r="I4" s="14">
        <v>15</v>
      </c>
      <c r="J4" s="14">
        <v>14</v>
      </c>
      <c r="K4" s="14">
        <v>154</v>
      </c>
      <c r="L4" s="15">
        <v>20</v>
      </c>
      <c r="M4" s="16"/>
      <c r="N4" s="17">
        <v>50</v>
      </c>
      <c r="O4" s="17">
        <v>194</v>
      </c>
      <c r="P4" s="17">
        <v>184</v>
      </c>
      <c r="Q4" s="17">
        <v>85</v>
      </c>
      <c r="R4" s="17">
        <v>155</v>
      </c>
      <c r="S4" s="17">
        <v>155</v>
      </c>
      <c r="T4" s="17">
        <v>66</v>
      </c>
      <c r="U4" s="17">
        <v>134</v>
      </c>
      <c r="V4" s="17">
        <v>109</v>
      </c>
      <c r="W4" s="17">
        <v>122</v>
      </c>
      <c r="X4" s="17">
        <v>79</v>
      </c>
      <c r="Y4" s="17">
        <v>146</v>
      </c>
      <c r="Z4" s="17">
        <v>148</v>
      </c>
      <c r="AA4" s="17">
        <v>128</v>
      </c>
      <c r="AB4" s="56">
        <f>('[1]Occidente Sur'!AH3)</f>
        <v>119</v>
      </c>
      <c r="AC4" s="57">
        <v>109</v>
      </c>
      <c r="AD4" s="57">
        <v>107</v>
      </c>
      <c r="AE4" s="57">
        <v>137</v>
      </c>
      <c r="AF4" s="17">
        <v>85</v>
      </c>
      <c r="AG4" s="17">
        <v>123</v>
      </c>
      <c r="AH4" s="17">
        <f>58+3+34</f>
        <v>95</v>
      </c>
      <c r="AI4" s="17">
        <f>8+53</f>
        <v>61</v>
      </c>
      <c r="AJ4" s="17"/>
      <c r="AK4" s="17"/>
      <c r="AL4" s="17">
        <f>60+50</f>
        <v>110</v>
      </c>
    </row>
    <row r="5" spans="2:38" ht="15" customHeight="1">
      <c r="B5" s="18" t="s">
        <v>31</v>
      </c>
      <c r="C5" s="14">
        <v>213</v>
      </c>
      <c r="D5" s="14">
        <v>73</v>
      </c>
      <c r="E5" s="14">
        <v>42</v>
      </c>
      <c r="F5" s="14">
        <v>98</v>
      </c>
      <c r="G5" s="14">
        <v>130</v>
      </c>
      <c r="H5" s="14">
        <v>206</v>
      </c>
      <c r="I5" s="14">
        <v>211</v>
      </c>
      <c r="J5" s="14">
        <v>201</v>
      </c>
      <c r="K5" s="14">
        <v>250</v>
      </c>
      <c r="L5" s="15">
        <v>195</v>
      </c>
      <c r="M5" s="16">
        <v>175</v>
      </c>
      <c r="N5" s="17">
        <v>182</v>
      </c>
      <c r="O5" s="17">
        <v>131</v>
      </c>
      <c r="P5" s="17">
        <v>109</v>
      </c>
      <c r="Q5" s="17">
        <v>314</v>
      </c>
      <c r="R5" s="17">
        <v>497</v>
      </c>
      <c r="S5" s="17">
        <v>203</v>
      </c>
      <c r="T5" s="17">
        <v>184</v>
      </c>
      <c r="U5" s="17">
        <v>192</v>
      </c>
      <c r="V5" s="17">
        <v>172</v>
      </c>
      <c r="W5" s="17">
        <v>149</v>
      </c>
      <c r="X5" s="17">
        <v>125</v>
      </c>
      <c r="Y5" s="17">
        <v>144</v>
      </c>
      <c r="Z5" s="17">
        <v>134</v>
      </c>
      <c r="AA5" s="17">
        <v>106</v>
      </c>
      <c r="AB5" s="56">
        <f>('[1]Caudal'!AI3)</f>
        <v>89</v>
      </c>
      <c r="AC5" s="57">
        <v>147</v>
      </c>
      <c r="AD5" s="57">
        <f>64+159</f>
        <v>223</v>
      </c>
      <c r="AE5" s="57">
        <v>215</v>
      </c>
      <c r="AF5" s="17">
        <v>355</v>
      </c>
      <c r="AG5" s="17">
        <v>432</v>
      </c>
      <c r="AH5" s="17">
        <f>64+35+68+263+18</f>
        <v>448</v>
      </c>
      <c r="AI5" s="17">
        <f>30+52+11+329</f>
        <v>422</v>
      </c>
      <c r="AJ5" s="17">
        <v>13</v>
      </c>
      <c r="AK5" s="17">
        <f>52+44+24+110</f>
        <v>230</v>
      </c>
      <c r="AL5" s="17">
        <f>18+12+252+21</f>
        <v>303</v>
      </c>
    </row>
    <row r="6" spans="2:38" ht="18" customHeight="1">
      <c r="B6" s="18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56">
        <f>('[1]Oriente'!B16)</f>
        <v>0</v>
      </c>
      <c r="AC6" s="57">
        <v>0</v>
      </c>
      <c r="AD6" s="57">
        <v>0</v>
      </c>
      <c r="AE6" s="57">
        <v>0</v>
      </c>
      <c r="AF6" s="17">
        <v>0</v>
      </c>
      <c r="AG6" s="17"/>
      <c r="AH6" s="17"/>
      <c r="AI6" s="17"/>
      <c r="AJ6" s="17"/>
      <c r="AK6" s="17"/>
      <c r="AL6" s="17"/>
    </row>
    <row r="7" spans="2:38" ht="15.75" customHeight="1">
      <c r="B7" s="18" t="s">
        <v>33</v>
      </c>
      <c r="C7" s="14">
        <v>1397</v>
      </c>
      <c r="D7" s="14">
        <v>1862</v>
      </c>
      <c r="E7" s="14">
        <v>2093</v>
      </c>
      <c r="F7" s="14">
        <v>2564</v>
      </c>
      <c r="G7" s="14">
        <v>2162</v>
      </c>
      <c r="H7" s="14">
        <v>2625</v>
      </c>
      <c r="I7" s="14">
        <v>2610</v>
      </c>
      <c r="J7" s="14">
        <v>2727</v>
      </c>
      <c r="K7" s="14">
        <v>2874</v>
      </c>
      <c r="L7" s="15">
        <v>2561</v>
      </c>
      <c r="M7" s="19">
        <v>2900</v>
      </c>
      <c r="N7" s="17">
        <v>2472</v>
      </c>
      <c r="O7" s="17">
        <v>2699</v>
      </c>
      <c r="P7" s="17">
        <v>2249</v>
      </c>
      <c r="Q7" s="17">
        <v>2166</v>
      </c>
      <c r="R7" s="17">
        <v>1950</v>
      </c>
      <c r="S7" s="17">
        <v>1896</v>
      </c>
      <c r="T7" s="17">
        <v>1931</v>
      </c>
      <c r="U7" s="17">
        <v>1976</v>
      </c>
      <c r="V7" s="17">
        <v>1915</v>
      </c>
      <c r="W7" s="17">
        <v>2223</v>
      </c>
      <c r="X7" s="17">
        <v>2202</v>
      </c>
      <c r="Y7" s="17">
        <v>2257</v>
      </c>
      <c r="Z7" s="17">
        <v>2439</v>
      </c>
      <c r="AA7" s="17">
        <v>2390</v>
      </c>
      <c r="AB7" s="56">
        <f>('[1]Aviles'!B17)</f>
        <v>2334</v>
      </c>
      <c r="AC7" s="57">
        <v>2500</v>
      </c>
      <c r="AD7" s="57">
        <v>2543</v>
      </c>
      <c r="AE7" s="57">
        <v>2603</v>
      </c>
      <c r="AF7" s="17">
        <v>2817</v>
      </c>
      <c r="AG7" s="17">
        <f>2843+123+29</f>
        <v>2995</v>
      </c>
      <c r="AH7" s="17">
        <f>836+18+947+1205+101</f>
        <v>3107</v>
      </c>
      <c r="AI7" s="17">
        <f>1759+912+78</f>
        <v>2749</v>
      </c>
      <c r="AJ7" s="17">
        <f>1199+836</f>
        <v>2035</v>
      </c>
      <c r="AK7" s="17">
        <f>860+1071+1270</f>
        <v>3201</v>
      </c>
      <c r="AL7" s="17">
        <f>1062+1159+792</f>
        <v>3013</v>
      </c>
    </row>
    <row r="8" spans="2:38" ht="15" customHeight="1">
      <c r="B8" s="18" t="s">
        <v>34</v>
      </c>
      <c r="C8" s="14">
        <v>96</v>
      </c>
      <c r="D8" s="14">
        <v>53</v>
      </c>
      <c r="E8" s="14">
        <v>26</v>
      </c>
      <c r="F8" s="14">
        <v>79</v>
      </c>
      <c r="G8" s="14">
        <v>108</v>
      </c>
      <c r="H8" s="14">
        <v>95</v>
      </c>
      <c r="I8" s="14">
        <v>100</v>
      </c>
      <c r="J8" s="14">
        <v>83</v>
      </c>
      <c r="K8" s="14">
        <v>107</v>
      </c>
      <c r="L8" s="15">
        <v>59</v>
      </c>
      <c r="M8" s="16">
        <v>50</v>
      </c>
      <c r="N8" s="17">
        <v>10</v>
      </c>
      <c r="O8" s="17">
        <v>27</v>
      </c>
      <c r="P8" s="17">
        <v>27</v>
      </c>
      <c r="Q8" s="17">
        <v>36</v>
      </c>
      <c r="R8" s="17">
        <v>41</v>
      </c>
      <c r="S8" s="17">
        <v>37</v>
      </c>
      <c r="T8" s="17">
        <v>59</v>
      </c>
      <c r="U8" s="17">
        <v>33</v>
      </c>
      <c r="V8" s="17">
        <v>0</v>
      </c>
      <c r="W8" s="17">
        <v>0</v>
      </c>
      <c r="X8" s="17">
        <v>40</v>
      </c>
      <c r="Y8" s="17">
        <v>26</v>
      </c>
      <c r="Z8" s="17">
        <v>32</v>
      </c>
      <c r="AA8" s="17">
        <v>37</v>
      </c>
      <c r="AB8" s="56">
        <f>('[1]Grado'!B15)</f>
        <v>30</v>
      </c>
      <c r="AC8" s="57">
        <v>60</v>
      </c>
      <c r="AD8" s="57">
        <v>25</v>
      </c>
      <c r="AE8" s="57">
        <v>21</v>
      </c>
      <c r="AF8" s="17">
        <v>12</v>
      </c>
      <c r="AG8" s="17">
        <v>22</v>
      </c>
      <c r="AH8" s="17">
        <f>1+24</f>
        <v>25</v>
      </c>
      <c r="AI8" s="17">
        <v>17</v>
      </c>
      <c r="AJ8" s="17"/>
      <c r="AK8" s="17">
        <v>24</v>
      </c>
      <c r="AL8" s="17">
        <f>5+26</f>
        <v>31</v>
      </c>
    </row>
    <row r="9" spans="2:38" ht="12.75" customHeight="1">
      <c r="B9" s="18" t="s">
        <v>35</v>
      </c>
      <c r="C9" s="14"/>
      <c r="D9" s="14">
        <v>22</v>
      </c>
      <c r="E9" s="14">
        <v>54</v>
      </c>
      <c r="F9" s="14">
        <v>46</v>
      </c>
      <c r="G9" s="14">
        <v>30</v>
      </c>
      <c r="H9" s="14">
        <v>14</v>
      </c>
      <c r="I9" s="14">
        <v>32</v>
      </c>
      <c r="J9" s="14">
        <v>17</v>
      </c>
      <c r="K9" s="14">
        <v>5</v>
      </c>
      <c r="L9" s="15"/>
      <c r="M9" s="16"/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9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2</v>
      </c>
      <c r="AA9" s="17">
        <v>0</v>
      </c>
      <c r="AB9" s="56">
        <f>('[1]Siero'!B14)</f>
        <v>0</v>
      </c>
      <c r="AC9" s="57">
        <v>0</v>
      </c>
      <c r="AD9" s="57">
        <v>10</v>
      </c>
      <c r="AE9" s="57">
        <v>10</v>
      </c>
      <c r="AF9" s="17">
        <v>20</v>
      </c>
      <c r="AG9" s="17">
        <v>40</v>
      </c>
      <c r="AH9" s="17">
        <v>37</v>
      </c>
      <c r="AI9" s="17">
        <v>26</v>
      </c>
      <c r="AJ9" s="17">
        <v>12</v>
      </c>
      <c r="AK9" s="17"/>
      <c r="AL9" s="17"/>
    </row>
    <row r="10" spans="2:38" ht="13.5">
      <c r="B10" s="18" t="s">
        <v>36</v>
      </c>
      <c r="C10" s="14">
        <v>65</v>
      </c>
      <c r="D10" s="14">
        <v>118</v>
      </c>
      <c r="E10" s="14">
        <v>186</v>
      </c>
      <c r="F10" s="14">
        <v>147</v>
      </c>
      <c r="G10" s="14">
        <v>126</v>
      </c>
      <c r="H10" s="14">
        <v>92</v>
      </c>
      <c r="I10" s="14">
        <v>55</v>
      </c>
      <c r="J10" s="14">
        <v>150</v>
      </c>
      <c r="K10" s="14">
        <v>160</v>
      </c>
      <c r="L10" s="15">
        <v>186</v>
      </c>
      <c r="M10" s="16">
        <v>187</v>
      </c>
      <c r="N10" s="17">
        <v>116</v>
      </c>
      <c r="O10" s="17">
        <v>82</v>
      </c>
      <c r="P10" s="17">
        <v>85</v>
      </c>
      <c r="Q10" s="17">
        <v>80</v>
      </c>
      <c r="R10" s="17">
        <v>97</v>
      </c>
      <c r="S10" s="17">
        <v>93</v>
      </c>
      <c r="T10" s="17">
        <v>61</v>
      </c>
      <c r="U10" s="17">
        <v>105</v>
      </c>
      <c r="V10" s="17">
        <v>100</v>
      </c>
      <c r="W10" s="17">
        <v>76</v>
      </c>
      <c r="X10" s="17">
        <v>66</v>
      </c>
      <c r="Y10" s="17">
        <v>67</v>
      </c>
      <c r="Z10" s="17">
        <v>70</v>
      </c>
      <c r="AA10" s="17">
        <v>52</v>
      </c>
      <c r="AB10" s="56">
        <f>('[1]Cuenca Navia'!B13)</f>
        <v>58</v>
      </c>
      <c r="AC10" s="57">
        <v>47</v>
      </c>
      <c r="AD10" s="57">
        <v>42</v>
      </c>
      <c r="AE10" s="57">
        <v>22</v>
      </c>
      <c r="AF10" s="17">
        <v>42</v>
      </c>
      <c r="AG10" s="17">
        <v>53</v>
      </c>
      <c r="AH10" s="17">
        <f>23+2</f>
        <v>25</v>
      </c>
      <c r="AI10" s="17">
        <f>25+5+20</f>
        <v>50</v>
      </c>
      <c r="AJ10" s="17"/>
      <c r="AK10" s="17">
        <f>19+7</f>
        <v>26</v>
      </c>
      <c r="AL10" s="17">
        <v>3</v>
      </c>
    </row>
    <row r="11" spans="2:38" ht="13.5">
      <c r="B11" s="18" t="s">
        <v>37</v>
      </c>
      <c r="C11" s="14"/>
      <c r="D11" s="14"/>
      <c r="E11" s="14"/>
      <c r="F11" s="14"/>
      <c r="G11" s="14"/>
      <c r="H11" s="14">
        <v>162</v>
      </c>
      <c r="I11" s="14">
        <v>77</v>
      </c>
      <c r="J11" s="14">
        <v>114</v>
      </c>
      <c r="K11" s="14">
        <v>62</v>
      </c>
      <c r="L11" s="15">
        <v>62</v>
      </c>
      <c r="M11" s="16">
        <v>126</v>
      </c>
      <c r="N11" s="17">
        <v>108</v>
      </c>
      <c r="O11" s="17">
        <v>60</v>
      </c>
      <c r="P11" s="17">
        <v>60</v>
      </c>
      <c r="Q11" s="17">
        <v>57</v>
      </c>
      <c r="R11" s="17">
        <v>0</v>
      </c>
      <c r="S11" s="17">
        <v>30</v>
      </c>
      <c r="T11" s="17">
        <v>9</v>
      </c>
      <c r="U11" s="17">
        <v>63</v>
      </c>
      <c r="V11" s="17">
        <v>155</v>
      </c>
      <c r="W11" s="17">
        <v>155</v>
      </c>
      <c r="X11" s="17">
        <v>86</v>
      </c>
      <c r="Y11" s="17">
        <v>71</v>
      </c>
      <c r="Z11" s="17">
        <v>111</v>
      </c>
      <c r="AA11" s="17">
        <v>117</v>
      </c>
      <c r="AB11" s="56">
        <f>('[1]Oriente'!B17)</f>
        <v>126</v>
      </c>
      <c r="AC11" s="57">
        <v>116</v>
      </c>
      <c r="AD11" s="57">
        <v>130</v>
      </c>
      <c r="AE11" s="57">
        <v>96</v>
      </c>
      <c r="AF11" s="17">
        <v>91</v>
      </c>
      <c r="AG11" s="17">
        <f>157+25</f>
        <v>182</v>
      </c>
      <c r="AH11" s="17">
        <f>180+5+25+31</f>
        <v>241</v>
      </c>
      <c r="AI11" s="17">
        <f>89+30+95</f>
        <v>214</v>
      </c>
      <c r="AJ11" s="17">
        <f>47+23+9</f>
        <v>79</v>
      </c>
      <c r="AK11" s="17">
        <f>98+30+87</f>
        <v>215</v>
      </c>
      <c r="AL11" s="17">
        <f>113+105+14</f>
        <v>232</v>
      </c>
    </row>
    <row r="12" spans="2:38" ht="13.5">
      <c r="B12" s="18" t="s">
        <v>38</v>
      </c>
      <c r="C12" s="14"/>
      <c r="D12" s="14"/>
      <c r="E12" s="14"/>
      <c r="F12" s="14"/>
      <c r="G12" s="14"/>
      <c r="H12" s="20" t="s">
        <v>39</v>
      </c>
      <c r="I12" s="14"/>
      <c r="J12" s="14"/>
      <c r="K12" s="14"/>
      <c r="L12" s="15"/>
      <c r="M12" s="16"/>
      <c r="N12" s="17">
        <v>0</v>
      </c>
      <c r="O12" s="17">
        <v>0</v>
      </c>
      <c r="P12" s="17">
        <v>0</v>
      </c>
      <c r="Q12" s="17">
        <v>12</v>
      </c>
      <c r="R12" s="17">
        <v>14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56">
        <f>('[1]Siero'!B15)</f>
        <v>0</v>
      </c>
      <c r="AC12" s="57">
        <v>15</v>
      </c>
      <c r="AD12" s="57">
        <v>12</v>
      </c>
      <c r="AE12" s="57">
        <v>20</v>
      </c>
      <c r="AF12" s="17">
        <v>21</v>
      </c>
      <c r="AG12" s="17">
        <v>30</v>
      </c>
      <c r="AH12" s="17">
        <v>33</v>
      </c>
      <c r="AI12" s="17">
        <v>46</v>
      </c>
      <c r="AJ12" s="17">
        <v>18</v>
      </c>
      <c r="AK12" s="17">
        <f>15</f>
        <v>15</v>
      </c>
      <c r="AL12" s="17">
        <v>32</v>
      </c>
    </row>
    <row r="13" spans="2:38" ht="13.5">
      <c r="B13" s="18" t="s">
        <v>40</v>
      </c>
      <c r="C13" s="14">
        <v>290</v>
      </c>
      <c r="D13" s="14">
        <v>168</v>
      </c>
      <c r="E13" s="14">
        <v>235</v>
      </c>
      <c r="F13" s="14">
        <v>202</v>
      </c>
      <c r="G13" s="14">
        <v>196</v>
      </c>
      <c r="H13" s="14">
        <v>89</v>
      </c>
      <c r="I13" s="14">
        <v>136</v>
      </c>
      <c r="J13" s="14">
        <v>146</v>
      </c>
      <c r="K13" s="14">
        <v>151</v>
      </c>
      <c r="L13" s="15">
        <v>75</v>
      </c>
      <c r="M13" s="16">
        <v>68</v>
      </c>
      <c r="N13" s="17">
        <v>71</v>
      </c>
      <c r="O13" s="17">
        <v>59</v>
      </c>
      <c r="P13" s="17">
        <v>44</v>
      </c>
      <c r="Q13" s="17">
        <v>56</v>
      </c>
      <c r="R13" s="17">
        <v>51</v>
      </c>
      <c r="S13" s="17">
        <v>41</v>
      </c>
      <c r="T13" s="17">
        <v>41</v>
      </c>
      <c r="U13" s="17">
        <v>26</v>
      </c>
      <c r="V13" s="17">
        <v>25</v>
      </c>
      <c r="W13" s="17">
        <v>33</v>
      </c>
      <c r="X13" s="17">
        <v>40</v>
      </c>
      <c r="Y13" s="17">
        <v>45</v>
      </c>
      <c r="Z13" s="17">
        <v>53</v>
      </c>
      <c r="AA13" s="17">
        <v>45</v>
      </c>
      <c r="AB13" s="56">
        <f>('[1]Grado'!B16)</f>
        <v>61</v>
      </c>
      <c r="AC13" s="57">
        <v>75</v>
      </c>
      <c r="AD13" s="57">
        <v>58</v>
      </c>
      <c r="AE13" s="57">
        <v>75</v>
      </c>
      <c r="AF13" s="17">
        <v>70</v>
      </c>
      <c r="AG13" s="17">
        <v>82</v>
      </c>
      <c r="AH13" s="17">
        <f>12+29+23</f>
        <v>64</v>
      </c>
      <c r="AI13" s="17">
        <v>32</v>
      </c>
      <c r="AJ13" s="17"/>
      <c r="AK13" s="17">
        <f>10+41</f>
        <v>51</v>
      </c>
      <c r="AL13" s="17">
        <f>11+32</f>
        <v>43</v>
      </c>
    </row>
    <row r="14" spans="2:38" ht="13.5">
      <c r="B14" s="18" t="s">
        <v>41</v>
      </c>
      <c r="C14" s="14">
        <v>209</v>
      </c>
      <c r="D14" s="14">
        <v>218</v>
      </c>
      <c r="E14" s="14">
        <v>131</v>
      </c>
      <c r="F14" s="14">
        <v>341</v>
      </c>
      <c r="G14" s="14">
        <v>514</v>
      </c>
      <c r="H14" s="14">
        <v>478</v>
      </c>
      <c r="I14" s="14">
        <v>627</v>
      </c>
      <c r="J14" s="14">
        <v>573</v>
      </c>
      <c r="K14" s="14">
        <v>621</v>
      </c>
      <c r="L14" s="15">
        <v>528</v>
      </c>
      <c r="M14" s="16">
        <v>300</v>
      </c>
      <c r="N14" s="17">
        <v>478</v>
      </c>
      <c r="O14" s="17">
        <v>284</v>
      </c>
      <c r="P14" s="17">
        <v>295</v>
      </c>
      <c r="Q14" s="17">
        <v>349</v>
      </c>
      <c r="R14" s="17">
        <v>227</v>
      </c>
      <c r="S14" s="17">
        <v>286</v>
      </c>
      <c r="T14" s="17">
        <v>177</v>
      </c>
      <c r="U14" s="17">
        <v>340</v>
      </c>
      <c r="V14" s="17">
        <v>260</v>
      </c>
      <c r="W14" s="17">
        <v>164</v>
      </c>
      <c r="X14" s="17">
        <v>279</v>
      </c>
      <c r="Y14" s="17">
        <v>304</v>
      </c>
      <c r="Z14" s="17">
        <v>377</v>
      </c>
      <c r="AA14" s="17">
        <v>338</v>
      </c>
      <c r="AB14" s="56">
        <f>('[1]Oriente'!B18)</f>
        <v>336</v>
      </c>
      <c r="AC14" s="57">
        <v>344</v>
      </c>
      <c r="AD14" s="57">
        <v>411</v>
      </c>
      <c r="AE14" s="57">
        <v>400</v>
      </c>
      <c r="AF14" s="17">
        <v>336</v>
      </c>
      <c r="AG14" s="17">
        <f>314+34</f>
        <v>348</v>
      </c>
      <c r="AH14" s="17">
        <f>64+119+152+11+111+44</f>
        <v>501</v>
      </c>
      <c r="AI14" s="17">
        <f>198+64+32+108</f>
        <v>402</v>
      </c>
      <c r="AJ14" s="17">
        <f>88+16+27+7+52</f>
        <v>190</v>
      </c>
      <c r="AK14" s="17">
        <f>64+157+121+40+15+204</f>
        <v>601</v>
      </c>
      <c r="AL14" s="17">
        <f>149+112+52+145+28+23</f>
        <v>509</v>
      </c>
    </row>
    <row r="15" spans="2:38" ht="13.5">
      <c r="B15" s="18" t="s">
        <v>42</v>
      </c>
      <c r="C15" s="14">
        <v>503</v>
      </c>
      <c r="D15" s="14">
        <v>363</v>
      </c>
      <c r="E15" s="14">
        <v>502</v>
      </c>
      <c r="F15" s="14">
        <v>484</v>
      </c>
      <c r="G15" s="14">
        <v>369</v>
      </c>
      <c r="H15" s="14">
        <v>416</v>
      </c>
      <c r="I15" s="14">
        <v>668</v>
      </c>
      <c r="J15" s="14">
        <v>719</v>
      </c>
      <c r="K15" s="14">
        <v>1085</v>
      </c>
      <c r="L15" s="15">
        <v>1483</v>
      </c>
      <c r="M15" s="19">
        <v>2095</v>
      </c>
      <c r="N15" s="17">
        <v>2080</v>
      </c>
      <c r="O15" s="17">
        <v>1673</v>
      </c>
      <c r="P15" s="17">
        <v>1802</v>
      </c>
      <c r="Q15" s="17">
        <v>1983</v>
      </c>
      <c r="R15" s="17">
        <v>1946</v>
      </c>
      <c r="S15" s="17">
        <v>1820</v>
      </c>
      <c r="T15" s="17">
        <v>1425</v>
      </c>
      <c r="U15" s="17">
        <v>1420</v>
      </c>
      <c r="V15" s="17">
        <v>1336</v>
      </c>
      <c r="W15" s="17">
        <v>1114</v>
      </c>
      <c r="X15" s="17">
        <v>1026</v>
      </c>
      <c r="Y15" s="17">
        <v>1336</v>
      </c>
      <c r="Z15" s="17">
        <v>1336</v>
      </c>
      <c r="AA15" s="17">
        <v>1465</v>
      </c>
      <c r="AB15" s="56">
        <f>('[1]Occidente Sur'!B11)</f>
        <v>1361</v>
      </c>
      <c r="AC15" s="57">
        <v>1327</v>
      </c>
      <c r="AD15" s="57">
        <v>1403</v>
      </c>
      <c r="AE15" s="57">
        <v>1173</v>
      </c>
      <c r="AF15" s="17">
        <v>1244</v>
      </c>
      <c r="AG15" s="17">
        <v>1279</v>
      </c>
      <c r="AH15" s="17">
        <f>84+398+485+69+430</f>
        <v>1466</v>
      </c>
      <c r="AI15" s="17">
        <f>693+64+13</f>
        <v>770</v>
      </c>
      <c r="AJ15" s="17">
        <f>97+54+64</f>
        <v>215</v>
      </c>
      <c r="AK15" s="17">
        <f>64+109+122</f>
        <v>295</v>
      </c>
      <c r="AL15" s="17">
        <f>265+323+64+274</f>
        <v>926</v>
      </c>
    </row>
    <row r="16" spans="2:38" ht="13.5">
      <c r="B16" s="18" t="s">
        <v>43</v>
      </c>
      <c r="C16" s="14"/>
      <c r="D16" s="14"/>
      <c r="E16" s="14">
        <v>16</v>
      </c>
      <c r="F16" s="14"/>
      <c r="G16" s="14"/>
      <c r="H16" s="14"/>
      <c r="I16" s="14"/>
      <c r="J16" s="14">
        <v>13</v>
      </c>
      <c r="K16" s="14">
        <v>7</v>
      </c>
      <c r="L16" s="15"/>
      <c r="M16" s="16"/>
      <c r="N16" s="17">
        <v>10</v>
      </c>
      <c r="O16" s="17">
        <v>0</v>
      </c>
      <c r="P16" s="17">
        <v>6</v>
      </c>
      <c r="Q16" s="17">
        <v>0</v>
      </c>
      <c r="R16" s="17">
        <v>5</v>
      </c>
      <c r="S16" s="17">
        <v>6</v>
      </c>
      <c r="T16" s="17">
        <v>12</v>
      </c>
      <c r="U16" s="17">
        <v>10</v>
      </c>
      <c r="V16" s="17">
        <v>5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56">
        <f>('[1]Siero'!B16)</f>
        <v>0</v>
      </c>
      <c r="AC16" s="57">
        <v>0</v>
      </c>
      <c r="AD16" s="57">
        <v>0</v>
      </c>
      <c r="AE16" s="57">
        <v>47</v>
      </c>
      <c r="AF16" s="17">
        <v>33</v>
      </c>
      <c r="AG16" s="17">
        <v>21</v>
      </c>
      <c r="AH16" s="17">
        <v>24</v>
      </c>
      <c r="AI16" s="17">
        <v>16</v>
      </c>
      <c r="AJ16" s="17"/>
      <c r="AK16" s="17">
        <f>23+51+7</f>
        <v>81</v>
      </c>
      <c r="AL16" s="17">
        <v>58</v>
      </c>
    </row>
    <row r="17" spans="2:38" ht="13.5">
      <c r="B17" s="18" t="s">
        <v>44</v>
      </c>
      <c r="C17" s="14">
        <v>216</v>
      </c>
      <c r="D17" s="14">
        <v>459</v>
      </c>
      <c r="E17" s="14">
        <v>297</v>
      </c>
      <c r="F17" s="14">
        <v>370</v>
      </c>
      <c r="G17" s="14">
        <v>343</v>
      </c>
      <c r="H17" s="14">
        <v>375</v>
      </c>
      <c r="I17" s="14">
        <v>397</v>
      </c>
      <c r="J17" s="14">
        <v>336</v>
      </c>
      <c r="K17" s="14">
        <v>404</v>
      </c>
      <c r="L17" s="15">
        <v>396</v>
      </c>
      <c r="M17" s="16">
        <v>465</v>
      </c>
      <c r="N17" s="17">
        <v>402</v>
      </c>
      <c r="O17" s="17">
        <v>807</v>
      </c>
      <c r="P17" s="17">
        <v>343</v>
      </c>
      <c r="Q17" s="17">
        <v>282</v>
      </c>
      <c r="R17" s="17">
        <v>322</v>
      </c>
      <c r="S17" s="17">
        <v>222</v>
      </c>
      <c r="T17" s="17">
        <v>215</v>
      </c>
      <c r="U17" s="17">
        <v>287</v>
      </c>
      <c r="V17" s="17">
        <v>288</v>
      </c>
      <c r="W17" s="17">
        <v>264</v>
      </c>
      <c r="X17" s="17">
        <v>235</v>
      </c>
      <c r="Y17" s="17">
        <v>250</v>
      </c>
      <c r="Z17" s="17">
        <v>399</v>
      </c>
      <c r="AA17" s="17">
        <v>541</v>
      </c>
      <c r="AB17" s="56">
        <f>('[1]Gijon'!B8)</f>
        <v>519</v>
      </c>
      <c r="AC17" s="57">
        <v>410</v>
      </c>
      <c r="AD17" s="57">
        <v>370</v>
      </c>
      <c r="AE17" s="57">
        <v>518</v>
      </c>
      <c r="AF17" s="17">
        <v>572</v>
      </c>
      <c r="AG17" s="17">
        <f>473+35</f>
        <v>508</v>
      </c>
      <c r="AH17" s="17">
        <f>64+188+224+40</f>
        <v>516</v>
      </c>
      <c r="AI17" s="17">
        <f>259+76+32</f>
        <v>367</v>
      </c>
      <c r="AJ17" s="17">
        <v>54</v>
      </c>
      <c r="AK17" s="17">
        <f>24+144+78+8+25</f>
        <v>279</v>
      </c>
      <c r="AL17" s="17">
        <f>198+74+76+13</f>
        <v>361</v>
      </c>
    </row>
    <row r="18" spans="2:38" ht="13.5">
      <c r="B18" s="18" t="s">
        <v>45</v>
      </c>
      <c r="C18" s="14"/>
      <c r="D18" s="14"/>
      <c r="E18" s="14"/>
      <c r="F18" s="14"/>
      <c r="G18" s="14"/>
      <c r="H18" s="14"/>
      <c r="I18" s="14"/>
      <c r="J18" s="14"/>
      <c r="K18" s="14">
        <v>38</v>
      </c>
      <c r="L18" s="15">
        <v>60</v>
      </c>
      <c r="M18" s="16"/>
      <c r="N18" s="17">
        <v>0</v>
      </c>
      <c r="O18" s="17">
        <v>66</v>
      </c>
      <c r="P18" s="17">
        <v>0</v>
      </c>
      <c r="Q18" s="17">
        <v>0</v>
      </c>
      <c r="R18" s="17">
        <v>154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56">
        <f>('[1]Nalon'!B10)</f>
        <v>0</v>
      </c>
      <c r="AC18" s="57">
        <v>0</v>
      </c>
      <c r="AD18" s="57">
        <v>0</v>
      </c>
      <c r="AE18" s="57">
        <v>0</v>
      </c>
      <c r="AF18" s="17">
        <v>15</v>
      </c>
      <c r="AG18" s="17">
        <v>12</v>
      </c>
      <c r="AH18" s="17"/>
      <c r="AI18" s="17"/>
      <c r="AJ18" s="17"/>
      <c r="AK18" s="17"/>
      <c r="AL18" s="17"/>
    </row>
    <row r="19" spans="2:38" ht="13.5">
      <c r="B19" s="18" t="s">
        <v>46</v>
      </c>
      <c r="C19" s="14">
        <v>153</v>
      </c>
      <c r="D19" s="14">
        <v>232</v>
      </c>
      <c r="E19" s="14">
        <v>214</v>
      </c>
      <c r="F19" s="14">
        <v>331</v>
      </c>
      <c r="G19" s="14">
        <v>365</v>
      </c>
      <c r="H19" s="14">
        <v>629</v>
      </c>
      <c r="I19" s="14">
        <v>470</v>
      </c>
      <c r="J19" s="14">
        <v>556</v>
      </c>
      <c r="K19" s="14">
        <v>611</v>
      </c>
      <c r="L19" s="15">
        <v>580</v>
      </c>
      <c r="M19" s="16">
        <v>511</v>
      </c>
      <c r="N19" s="17">
        <v>501</v>
      </c>
      <c r="O19" s="17">
        <v>385</v>
      </c>
      <c r="P19" s="17">
        <v>455</v>
      </c>
      <c r="Q19" s="17">
        <v>617</v>
      </c>
      <c r="R19" s="17">
        <v>494</v>
      </c>
      <c r="S19" s="17">
        <v>475</v>
      </c>
      <c r="T19" s="17">
        <v>546</v>
      </c>
      <c r="U19" s="17">
        <v>483</v>
      </c>
      <c r="V19" s="17">
        <v>462</v>
      </c>
      <c r="W19" s="17">
        <v>441</v>
      </c>
      <c r="X19" s="17">
        <v>368</v>
      </c>
      <c r="Y19" s="17">
        <v>289</v>
      </c>
      <c r="Z19" s="17">
        <v>339</v>
      </c>
      <c r="AA19" s="17">
        <v>423</v>
      </c>
      <c r="AB19" s="56">
        <f>('[1]Aviles'!B18)</f>
        <v>331</v>
      </c>
      <c r="AC19" s="57">
        <v>305</v>
      </c>
      <c r="AD19" s="57">
        <v>361</v>
      </c>
      <c r="AE19" s="57">
        <v>331</v>
      </c>
      <c r="AF19" s="17">
        <v>346</v>
      </c>
      <c r="AG19" s="17">
        <v>363</v>
      </c>
      <c r="AH19" s="17">
        <f>192+110+114</f>
        <v>416</v>
      </c>
      <c r="AI19" s="17">
        <v>318</v>
      </c>
      <c r="AJ19" s="17">
        <f>125+96</f>
        <v>221</v>
      </c>
      <c r="AK19" s="17">
        <f>164+72+55+6</f>
        <v>297</v>
      </c>
      <c r="AL19" s="17">
        <f>76+80+144+4</f>
        <v>304</v>
      </c>
    </row>
    <row r="20" spans="2:38" ht="13.5">
      <c r="B20" s="18" t="s">
        <v>47</v>
      </c>
      <c r="C20" s="14">
        <v>192</v>
      </c>
      <c r="D20" s="14">
        <v>350</v>
      </c>
      <c r="E20" s="14">
        <v>183</v>
      </c>
      <c r="F20" s="14">
        <v>214</v>
      </c>
      <c r="G20" s="14">
        <v>84</v>
      </c>
      <c r="H20" s="14">
        <v>109</v>
      </c>
      <c r="I20" s="14">
        <v>77</v>
      </c>
      <c r="J20" s="14">
        <v>116</v>
      </c>
      <c r="K20" s="14"/>
      <c r="L20" s="15">
        <v>5</v>
      </c>
      <c r="M20" s="16">
        <v>22</v>
      </c>
      <c r="N20" s="17">
        <v>21</v>
      </c>
      <c r="O20" s="17">
        <v>22</v>
      </c>
      <c r="P20" s="17">
        <v>33</v>
      </c>
      <c r="Q20" s="17">
        <v>161</v>
      </c>
      <c r="R20" s="17">
        <v>163</v>
      </c>
      <c r="S20" s="17">
        <v>129</v>
      </c>
      <c r="T20" s="17">
        <v>353</v>
      </c>
      <c r="U20" s="17">
        <v>363</v>
      </c>
      <c r="V20" s="17">
        <v>249</v>
      </c>
      <c r="W20" s="17">
        <v>354</v>
      </c>
      <c r="X20" s="17">
        <v>474</v>
      </c>
      <c r="Y20" s="17">
        <v>365</v>
      </c>
      <c r="Z20" s="17">
        <v>118</v>
      </c>
      <c r="AA20" s="17">
        <v>230</v>
      </c>
      <c r="AB20" s="56">
        <f>('[1]Oscos Eo'!B17)</f>
        <v>165</v>
      </c>
      <c r="AC20" s="57">
        <v>167</v>
      </c>
      <c r="AD20" s="57">
        <v>122</v>
      </c>
      <c r="AE20" s="57">
        <v>153</v>
      </c>
      <c r="AF20" s="17">
        <v>133</v>
      </c>
      <c r="AG20" s="17">
        <v>185</v>
      </c>
      <c r="AH20" s="17">
        <f>64+62+59</f>
        <v>185</v>
      </c>
      <c r="AI20" s="17">
        <f>72+44+27</f>
        <v>143</v>
      </c>
      <c r="AJ20" s="17">
        <v>48</v>
      </c>
      <c r="AK20" s="17">
        <f>44+30+33</f>
        <v>107</v>
      </c>
      <c r="AL20" s="17">
        <f>57+89+44</f>
        <v>190</v>
      </c>
    </row>
    <row r="21" spans="2:38" ht="13.5">
      <c r="B21" s="18" t="s">
        <v>48</v>
      </c>
      <c r="C21" s="14">
        <v>72</v>
      </c>
      <c r="D21" s="14"/>
      <c r="E21" s="14"/>
      <c r="F21" s="14"/>
      <c r="G21" s="14"/>
      <c r="H21" s="14">
        <v>20</v>
      </c>
      <c r="I21" s="14">
        <v>50</v>
      </c>
      <c r="J21" s="14">
        <v>40</v>
      </c>
      <c r="K21" s="14">
        <v>40</v>
      </c>
      <c r="L21" s="15">
        <v>47</v>
      </c>
      <c r="M21" s="16">
        <v>53</v>
      </c>
      <c r="N21" s="17">
        <v>59</v>
      </c>
      <c r="O21" s="17">
        <v>58</v>
      </c>
      <c r="P21" s="17">
        <v>94</v>
      </c>
      <c r="Q21" s="17">
        <v>94</v>
      </c>
      <c r="R21" s="17">
        <v>92</v>
      </c>
      <c r="S21" s="17">
        <v>71</v>
      </c>
      <c r="T21" s="17">
        <v>92</v>
      </c>
      <c r="U21" s="17">
        <v>75</v>
      </c>
      <c r="V21" s="17">
        <v>73</v>
      </c>
      <c r="W21" s="17">
        <v>79</v>
      </c>
      <c r="X21" s="17">
        <v>65</v>
      </c>
      <c r="Y21" s="17">
        <v>21</v>
      </c>
      <c r="Z21" s="17">
        <v>72</v>
      </c>
      <c r="AA21" s="17">
        <v>90</v>
      </c>
      <c r="AB21" s="56">
        <f>('[1]Cuenca Navia'!B14)</f>
        <v>110</v>
      </c>
      <c r="AC21" s="57">
        <v>83</v>
      </c>
      <c r="AD21" s="57">
        <v>69</v>
      </c>
      <c r="AE21" s="57">
        <v>65</v>
      </c>
      <c r="AF21" s="17">
        <v>68</v>
      </c>
      <c r="AG21" s="17">
        <v>63</v>
      </c>
      <c r="AH21" s="17">
        <f>52+13+32+22</f>
        <v>119</v>
      </c>
      <c r="AI21" s="17">
        <f>96+19+31</f>
        <v>146</v>
      </c>
      <c r="AJ21" s="17">
        <v>3</v>
      </c>
      <c r="AK21" s="17">
        <f>32+5</f>
        <v>37</v>
      </c>
      <c r="AL21" s="17">
        <f>28+32</f>
        <v>60</v>
      </c>
    </row>
    <row r="22" spans="2:38" ht="13.5">
      <c r="B22" s="18" t="s">
        <v>49</v>
      </c>
      <c r="C22" s="14">
        <v>53</v>
      </c>
      <c r="D22" s="14">
        <v>93</v>
      </c>
      <c r="E22" s="14">
        <v>66</v>
      </c>
      <c r="F22" s="14">
        <v>20</v>
      </c>
      <c r="G22" s="14">
        <v>31</v>
      </c>
      <c r="H22" s="14">
        <v>28</v>
      </c>
      <c r="I22" s="14">
        <v>28</v>
      </c>
      <c r="J22" s="14">
        <v>46</v>
      </c>
      <c r="K22" s="14">
        <v>122</v>
      </c>
      <c r="L22" s="15">
        <v>124</v>
      </c>
      <c r="M22" s="16">
        <v>147</v>
      </c>
      <c r="N22" s="17">
        <v>138</v>
      </c>
      <c r="O22" s="17">
        <v>59</v>
      </c>
      <c r="P22" s="17">
        <v>14</v>
      </c>
      <c r="Q22" s="17">
        <v>123</v>
      </c>
      <c r="R22" s="17">
        <v>42</v>
      </c>
      <c r="S22" s="17">
        <v>47</v>
      </c>
      <c r="T22" s="17">
        <v>54</v>
      </c>
      <c r="U22" s="17">
        <v>85</v>
      </c>
      <c r="V22" s="17">
        <v>48</v>
      </c>
      <c r="W22" s="17">
        <v>65</v>
      </c>
      <c r="X22" s="17">
        <v>49</v>
      </c>
      <c r="Y22" s="17">
        <v>62</v>
      </c>
      <c r="Z22" s="17">
        <v>81</v>
      </c>
      <c r="AA22" s="17">
        <v>57</v>
      </c>
      <c r="AB22" s="56">
        <f>('[1]Siero'!B17)</f>
        <v>25</v>
      </c>
      <c r="AC22" s="57">
        <v>31</v>
      </c>
      <c r="AD22" s="57">
        <v>28</v>
      </c>
      <c r="AE22" s="57">
        <v>25</v>
      </c>
      <c r="AF22" s="17">
        <v>15</v>
      </c>
      <c r="AG22" s="17"/>
      <c r="AH22" s="17">
        <f>27+26</f>
        <v>53</v>
      </c>
      <c r="AI22" s="17">
        <f>63+12</f>
        <v>75</v>
      </c>
      <c r="AJ22" s="17">
        <v>1</v>
      </c>
      <c r="AK22" s="17">
        <f>38+35</f>
        <v>73</v>
      </c>
      <c r="AL22" s="17">
        <v>3</v>
      </c>
    </row>
    <row r="23" spans="2:38" ht="13.5">
      <c r="B23" s="18" t="s">
        <v>50</v>
      </c>
      <c r="C23" s="14">
        <v>415</v>
      </c>
      <c r="D23" s="14">
        <v>621</v>
      </c>
      <c r="E23" s="14">
        <v>424</v>
      </c>
      <c r="F23" s="14">
        <v>358</v>
      </c>
      <c r="G23" s="14">
        <v>303</v>
      </c>
      <c r="H23" s="14">
        <v>372</v>
      </c>
      <c r="I23" s="14">
        <v>348</v>
      </c>
      <c r="J23" s="14">
        <v>363</v>
      </c>
      <c r="K23" s="14">
        <v>432</v>
      </c>
      <c r="L23" s="15">
        <v>419</v>
      </c>
      <c r="M23" s="16">
        <v>420</v>
      </c>
      <c r="N23" s="17">
        <v>425</v>
      </c>
      <c r="O23" s="17">
        <v>356</v>
      </c>
      <c r="P23" s="17">
        <v>257</v>
      </c>
      <c r="Q23" s="17">
        <v>296</v>
      </c>
      <c r="R23" s="17">
        <v>403</v>
      </c>
      <c r="S23" s="17">
        <v>403</v>
      </c>
      <c r="T23" s="17">
        <v>396</v>
      </c>
      <c r="U23" s="17">
        <v>421</v>
      </c>
      <c r="V23" s="17">
        <v>420</v>
      </c>
      <c r="W23" s="17">
        <v>461</v>
      </c>
      <c r="X23" s="17">
        <v>379</v>
      </c>
      <c r="Y23" s="17">
        <v>411</v>
      </c>
      <c r="Z23" s="17">
        <v>436</v>
      </c>
      <c r="AA23" s="17">
        <v>459</v>
      </c>
      <c r="AB23" s="56">
        <f>('[1]Aviles'!B19)</f>
        <v>440</v>
      </c>
      <c r="AC23" s="57">
        <v>584</v>
      </c>
      <c r="AD23" s="57">
        <v>506</v>
      </c>
      <c r="AE23" s="57">
        <v>607</v>
      </c>
      <c r="AF23" s="17">
        <v>634</v>
      </c>
      <c r="AG23" s="17">
        <v>627</v>
      </c>
      <c r="AH23" s="17">
        <f>172+278+229</f>
        <v>679</v>
      </c>
      <c r="AI23" s="17">
        <f>496+204</f>
        <v>700</v>
      </c>
      <c r="AJ23" s="17">
        <f>341+148</f>
        <v>489</v>
      </c>
      <c r="AK23" s="17">
        <f>188+228+160</f>
        <v>576</v>
      </c>
      <c r="AL23" s="17">
        <f>245+142+200</f>
        <v>587</v>
      </c>
    </row>
    <row r="24" spans="2:38" ht="13.5">
      <c r="B24" s="18" t="s">
        <v>51</v>
      </c>
      <c r="C24" s="14">
        <v>99</v>
      </c>
      <c r="D24" s="14">
        <v>118</v>
      </c>
      <c r="E24" s="14">
        <v>120</v>
      </c>
      <c r="F24" s="14">
        <v>172</v>
      </c>
      <c r="G24" s="14">
        <v>43</v>
      </c>
      <c r="H24" s="14">
        <v>86</v>
      </c>
      <c r="I24" s="14">
        <v>81</v>
      </c>
      <c r="J24" s="14">
        <v>77</v>
      </c>
      <c r="K24" s="14">
        <v>82</v>
      </c>
      <c r="L24" s="15">
        <v>74</v>
      </c>
      <c r="M24" s="16">
        <v>72</v>
      </c>
      <c r="N24" s="17">
        <v>95</v>
      </c>
      <c r="O24" s="17">
        <v>56</v>
      </c>
      <c r="P24" s="17">
        <v>62</v>
      </c>
      <c r="Q24" s="17">
        <v>92</v>
      </c>
      <c r="R24" s="17">
        <v>48</v>
      </c>
      <c r="S24" s="17">
        <v>50</v>
      </c>
      <c r="T24" s="17">
        <v>40</v>
      </c>
      <c r="U24" s="17">
        <v>40</v>
      </c>
      <c r="V24" s="17">
        <v>44</v>
      </c>
      <c r="W24" s="17">
        <v>80</v>
      </c>
      <c r="X24" s="17">
        <v>69</v>
      </c>
      <c r="Y24" s="17">
        <v>60</v>
      </c>
      <c r="Z24" s="17">
        <v>25</v>
      </c>
      <c r="AA24" s="17">
        <v>29</v>
      </c>
      <c r="AB24" s="56">
        <f>('[1]Aviles'!B20)</f>
        <v>34</v>
      </c>
      <c r="AC24" s="57">
        <v>32</v>
      </c>
      <c r="AD24" s="57">
        <v>12</v>
      </c>
      <c r="AE24" s="57">
        <v>32</v>
      </c>
      <c r="AF24" s="17">
        <v>41</v>
      </c>
      <c r="AG24" s="17">
        <v>56</v>
      </c>
      <c r="AH24" s="17">
        <f>52+9+8</f>
        <v>69</v>
      </c>
      <c r="AI24" s="17">
        <v>53</v>
      </c>
      <c r="AJ24" s="17">
        <v>20</v>
      </c>
      <c r="AK24" s="17">
        <f>20+2</f>
        <v>22</v>
      </c>
      <c r="AL24" s="17">
        <f>1+12</f>
        <v>13</v>
      </c>
    </row>
    <row r="25" spans="2:38" ht="13.5">
      <c r="B25" s="18" t="s">
        <v>52</v>
      </c>
      <c r="C25" s="14">
        <v>65</v>
      </c>
      <c r="D25" s="14">
        <v>108</v>
      </c>
      <c r="E25" s="14">
        <v>127</v>
      </c>
      <c r="F25" s="14">
        <v>61</v>
      </c>
      <c r="G25" s="14">
        <v>51</v>
      </c>
      <c r="H25" s="14">
        <v>23</v>
      </c>
      <c r="I25" s="14">
        <v>83</v>
      </c>
      <c r="J25" s="14">
        <v>29</v>
      </c>
      <c r="K25" s="14">
        <v>109</v>
      </c>
      <c r="L25" s="15">
        <v>89</v>
      </c>
      <c r="M25" s="16">
        <v>72</v>
      </c>
      <c r="N25" s="17">
        <v>68</v>
      </c>
      <c r="O25" s="17">
        <v>196</v>
      </c>
      <c r="P25" s="17">
        <v>121</v>
      </c>
      <c r="Q25" s="17">
        <v>72</v>
      </c>
      <c r="R25" s="17">
        <v>108</v>
      </c>
      <c r="S25" s="17">
        <v>121</v>
      </c>
      <c r="T25" s="17">
        <v>106</v>
      </c>
      <c r="U25" s="17">
        <v>119</v>
      </c>
      <c r="V25" s="17">
        <v>84</v>
      </c>
      <c r="W25" s="17">
        <v>97</v>
      </c>
      <c r="X25" s="17">
        <v>83</v>
      </c>
      <c r="Y25" s="17">
        <v>69</v>
      </c>
      <c r="Z25" s="17">
        <v>176</v>
      </c>
      <c r="AA25" s="17">
        <v>95</v>
      </c>
      <c r="AB25" s="56">
        <f>('[1]Occidente Sur'!B12)</f>
        <v>107</v>
      </c>
      <c r="AC25" s="57">
        <v>172</v>
      </c>
      <c r="AD25" s="57">
        <v>162</v>
      </c>
      <c r="AE25" s="57">
        <v>157</v>
      </c>
      <c r="AF25" s="17">
        <v>114</v>
      </c>
      <c r="AG25" s="17">
        <v>96</v>
      </c>
      <c r="AH25" s="17">
        <f>30+32+23</f>
        <v>85</v>
      </c>
      <c r="AI25" s="17">
        <v>21</v>
      </c>
      <c r="AJ25" s="17"/>
      <c r="AK25" s="17"/>
      <c r="AL25" s="17">
        <v>18</v>
      </c>
    </row>
    <row r="26" spans="2:38" ht="13.5">
      <c r="B26" s="18" t="s">
        <v>53</v>
      </c>
      <c r="C26" s="14">
        <v>135</v>
      </c>
      <c r="D26" s="14">
        <v>86</v>
      </c>
      <c r="E26" s="14">
        <v>208</v>
      </c>
      <c r="F26" s="14">
        <v>138</v>
      </c>
      <c r="G26" s="14">
        <v>141</v>
      </c>
      <c r="H26" s="14">
        <v>129</v>
      </c>
      <c r="I26" s="14">
        <v>40</v>
      </c>
      <c r="J26" s="14">
        <v>60</v>
      </c>
      <c r="K26" s="14">
        <v>210</v>
      </c>
      <c r="L26" s="15">
        <v>47</v>
      </c>
      <c r="M26" s="16">
        <v>128</v>
      </c>
      <c r="N26" s="17">
        <v>114</v>
      </c>
      <c r="O26" s="17">
        <v>98</v>
      </c>
      <c r="P26" s="17">
        <v>178</v>
      </c>
      <c r="Q26" s="17">
        <v>174</v>
      </c>
      <c r="R26" s="17">
        <v>117</v>
      </c>
      <c r="S26" s="17">
        <v>75</v>
      </c>
      <c r="T26" s="17">
        <v>54</v>
      </c>
      <c r="U26" s="17">
        <v>77</v>
      </c>
      <c r="V26" s="17">
        <v>65</v>
      </c>
      <c r="W26" s="17">
        <v>58</v>
      </c>
      <c r="X26" s="17">
        <v>39</v>
      </c>
      <c r="Y26" s="17">
        <v>66</v>
      </c>
      <c r="Z26" s="17">
        <v>69</v>
      </c>
      <c r="AA26" s="17">
        <v>89</v>
      </c>
      <c r="AB26" s="56">
        <f>('[1]Oscos Eo'!B18)</f>
        <v>73</v>
      </c>
      <c r="AC26" s="57">
        <v>112</v>
      </c>
      <c r="AD26" s="57">
        <v>98</v>
      </c>
      <c r="AE26" s="57">
        <v>90</v>
      </c>
      <c r="AF26" s="17">
        <v>95</v>
      </c>
      <c r="AG26" s="17">
        <v>113</v>
      </c>
      <c r="AH26" s="17">
        <f>52+57+49</f>
        <v>158</v>
      </c>
      <c r="AI26" s="17">
        <f>72+52+73</f>
        <v>197</v>
      </c>
      <c r="AJ26" s="17">
        <f>15+52</f>
        <v>67</v>
      </c>
      <c r="AK26" s="17">
        <f>32+8+13</f>
        <v>53</v>
      </c>
      <c r="AL26" s="17">
        <f>48+62+52</f>
        <v>162</v>
      </c>
    </row>
    <row r="27" spans="2:38" ht="13.5">
      <c r="B27" s="18" t="s">
        <v>54</v>
      </c>
      <c r="C27" s="14">
        <v>5973</v>
      </c>
      <c r="D27" s="14">
        <v>9437</v>
      </c>
      <c r="E27" s="14">
        <v>8287</v>
      </c>
      <c r="F27" s="14">
        <v>9207</v>
      </c>
      <c r="G27" s="14">
        <v>8959</v>
      </c>
      <c r="H27" s="14">
        <v>9495</v>
      </c>
      <c r="I27" s="14">
        <v>9659</v>
      </c>
      <c r="J27" s="14">
        <v>9637</v>
      </c>
      <c r="K27" s="14">
        <v>9518</v>
      </c>
      <c r="L27" s="15">
        <v>9187</v>
      </c>
      <c r="M27" s="16">
        <v>9775</v>
      </c>
      <c r="N27" s="17">
        <v>9263</v>
      </c>
      <c r="O27" s="17">
        <v>8511</v>
      </c>
      <c r="P27" s="17">
        <v>8347</v>
      </c>
      <c r="Q27" s="17">
        <v>8326</v>
      </c>
      <c r="R27" s="17">
        <v>8067</v>
      </c>
      <c r="S27" s="17">
        <v>8275</v>
      </c>
      <c r="T27" s="17">
        <v>7263</v>
      </c>
      <c r="U27" s="17">
        <v>7172</v>
      </c>
      <c r="V27" s="17">
        <v>7941</v>
      </c>
      <c r="W27" s="17">
        <v>8135</v>
      </c>
      <c r="X27" s="17">
        <v>8258</v>
      </c>
      <c r="Y27" s="17">
        <v>9111</v>
      </c>
      <c r="Z27" s="17">
        <v>9464</v>
      </c>
      <c r="AA27" s="17">
        <v>9843</v>
      </c>
      <c r="AB27" s="56">
        <f>('[1]Gijon'!B9)</f>
        <v>9331</v>
      </c>
      <c r="AC27" s="57">
        <v>10010</v>
      </c>
      <c r="AD27" s="57">
        <v>9332</v>
      </c>
      <c r="AE27" s="57">
        <v>9742</v>
      </c>
      <c r="AF27" s="17">
        <v>9996</v>
      </c>
      <c r="AG27" s="17">
        <v>10267</v>
      </c>
      <c r="AH27" s="17">
        <f>192+2700+5+124+3585+3255+727</f>
        <v>10588</v>
      </c>
      <c r="AI27" s="17">
        <f>6114+2736+588</f>
        <v>9438</v>
      </c>
      <c r="AJ27" s="17">
        <f>3162+46+2292</f>
        <v>5500</v>
      </c>
      <c r="AK27" s="17">
        <f>2580+3183+3101+67+166+297</f>
        <v>9394</v>
      </c>
      <c r="AL27" s="17">
        <f>3352+3151+2572+423+180+219+5</f>
        <v>9902</v>
      </c>
    </row>
    <row r="28" spans="2:38" ht="13.5">
      <c r="B28" s="18" t="s">
        <v>55</v>
      </c>
      <c r="C28" s="14">
        <v>214</v>
      </c>
      <c r="D28" s="14">
        <v>198</v>
      </c>
      <c r="E28" s="14">
        <v>123</v>
      </c>
      <c r="F28" s="14">
        <v>213</v>
      </c>
      <c r="G28" s="14">
        <v>241</v>
      </c>
      <c r="H28" s="14">
        <v>232</v>
      </c>
      <c r="I28" s="14">
        <v>275</v>
      </c>
      <c r="J28" s="14">
        <v>284</v>
      </c>
      <c r="K28" s="14">
        <v>331</v>
      </c>
      <c r="L28" s="15">
        <v>283</v>
      </c>
      <c r="M28" s="16">
        <v>287</v>
      </c>
      <c r="N28" s="17">
        <v>328</v>
      </c>
      <c r="O28" s="17">
        <v>301</v>
      </c>
      <c r="P28" s="17">
        <v>278</v>
      </c>
      <c r="Q28" s="17">
        <v>212</v>
      </c>
      <c r="R28" s="17">
        <v>254</v>
      </c>
      <c r="S28" s="17">
        <v>222</v>
      </c>
      <c r="T28" s="17">
        <v>215</v>
      </c>
      <c r="U28" s="17">
        <v>238</v>
      </c>
      <c r="V28" s="17">
        <v>224</v>
      </c>
      <c r="W28" s="17">
        <v>181</v>
      </c>
      <c r="X28" s="17">
        <v>198</v>
      </c>
      <c r="Y28" s="17">
        <v>177</v>
      </c>
      <c r="Z28" s="17">
        <v>198</v>
      </c>
      <c r="AA28" s="17">
        <v>163</v>
      </c>
      <c r="AB28" s="56">
        <f>('[1]Aviles'!B21)</f>
        <v>214</v>
      </c>
      <c r="AC28" s="57">
        <v>265</v>
      </c>
      <c r="AD28" s="57">
        <v>226</v>
      </c>
      <c r="AE28" s="57">
        <v>246</v>
      </c>
      <c r="AF28" s="17">
        <v>233</v>
      </c>
      <c r="AG28" s="17">
        <v>282</v>
      </c>
      <c r="AH28" s="17">
        <f>64+74+106+10</f>
        <v>254</v>
      </c>
      <c r="AI28" s="17">
        <f>156+64</f>
        <v>220</v>
      </c>
      <c r="AJ28" s="17">
        <f>93+64</f>
        <v>157</v>
      </c>
      <c r="AK28" s="17">
        <f>52+67+86</f>
        <v>205</v>
      </c>
      <c r="AL28" s="17">
        <f>76+103+52</f>
        <v>231</v>
      </c>
    </row>
    <row r="29" spans="2:38" ht="13.5">
      <c r="B29" s="18" t="s">
        <v>56</v>
      </c>
      <c r="C29" s="14">
        <v>319</v>
      </c>
      <c r="D29" s="14">
        <v>274</v>
      </c>
      <c r="E29" s="14">
        <v>327</v>
      </c>
      <c r="F29" s="14">
        <v>336</v>
      </c>
      <c r="G29" s="14">
        <v>305</v>
      </c>
      <c r="H29" s="14">
        <v>354</v>
      </c>
      <c r="I29" s="14">
        <v>383</v>
      </c>
      <c r="J29" s="14">
        <v>383</v>
      </c>
      <c r="K29" s="14">
        <v>510</v>
      </c>
      <c r="L29" s="15">
        <v>378</v>
      </c>
      <c r="M29" s="16">
        <v>521</v>
      </c>
      <c r="N29" s="17">
        <v>453</v>
      </c>
      <c r="O29" s="17">
        <v>444</v>
      </c>
      <c r="P29" s="17">
        <v>481</v>
      </c>
      <c r="Q29" s="17">
        <v>407</v>
      </c>
      <c r="R29" s="17">
        <v>460</v>
      </c>
      <c r="S29" s="17">
        <v>465</v>
      </c>
      <c r="T29" s="17">
        <v>386</v>
      </c>
      <c r="U29" s="17">
        <v>438</v>
      </c>
      <c r="V29" s="17">
        <v>359</v>
      </c>
      <c r="W29" s="17">
        <v>346</v>
      </c>
      <c r="X29" s="17">
        <v>282</v>
      </c>
      <c r="Y29" s="17">
        <v>497</v>
      </c>
      <c r="Z29" s="17">
        <v>406</v>
      </c>
      <c r="AA29" s="17">
        <v>410</v>
      </c>
      <c r="AB29" s="56">
        <f>('[1]Grado'!B17)</f>
        <v>429</v>
      </c>
      <c r="AC29" s="57">
        <v>620</v>
      </c>
      <c r="AD29" s="57">
        <v>415</v>
      </c>
      <c r="AE29" s="57">
        <v>464</v>
      </c>
      <c r="AF29" s="17">
        <v>485</v>
      </c>
      <c r="AG29" s="17">
        <f>352+226</f>
        <v>578</v>
      </c>
      <c r="AH29" s="17">
        <f>84+146+117+216+35</f>
        <v>598</v>
      </c>
      <c r="AI29" s="17">
        <f>137+76+237</f>
        <v>450</v>
      </c>
      <c r="AJ29" s="17">
        <f>143+70+64</f>
        <v>277</v>
      </c>
      <c r="AK29" s="17">
        <f>64+87+130+38+292</f>
        <v>611</v>
      </c>
      <c r="AL29" s="17">
        <f>89+115+64+333+18</f>
        <v>619</v>
      </c>
    </row>
    <row r="30" spans="2:38" ht="13.5">
      <c r="B30" s="18" t="s">
        <v>57</v>
      </c>
      <c r="C30" s="14">
        <v>45</v>
      </c>
      <c r="D30" s="14">
        <v>46</v>
      </c>
      <c r="E30" s="14">
        <v>81</v>
      </c>
      <c r="F30" s="14">
        <v>81</v>
      </c>
      <c r="G30" s="14">
        <v>75</v>
      </c>
      <c r="H30" s="14">
        <v>51</v>
      </c>
      <c r="I30" s="14">
        <v>18</v>
      </c>
      <c r="J30" s="14">
        <v>56</v>
      </c>
      <c r="K30" s="14">
        <v>53</v>
      </c>
      <c r="L30" s="15">
        <v>73</v>
      </c>
      <c r="M30" s="16">
        <v>41</v>
      </c>
      <c r="N30" s="17">
        <v>58</v>
      </c>
      <c r="O30" s="17">
        <v>90</v>
      </c>
      <c r="P30" s="17">
        <v>65</v>
      </c>
      <c r="Q30" s="17">
        <v>64</v>
      </c>
      <c r="R30" s="17">
        <v>62</v>
      </c>
      <c r="S30" s="17">
        <v>18</v>
      </c>
      <c r="T30" s="17">
        <v>0</v>
      </c>
      <c r="U30" s="17">
        <v>69</v>
      </c>
      <c r="V30" s="17">
        <v>58</v>
      </c>
      <c r="W30" s="17">
        <v>18</v>
      </c>
      <c r="X30" s="17">
        <v>21</v>
      </c>
      <c r="Y30" s="17">
        <v>36</v>
      </c>
      <c r="Z30" s="17">
        <v>25</v>
      </c>
      <c r="AA30" s="17">
        <v>33</v>
      </c>
      <c r="AB30" s="56">
        <f>('[1]Oscos Eo'!B19)</f>
        <v>0</v>
      </c>
      <c r="AC30" s="57">
        <v>25</v>
      </c>
      <c r="AD30" s="57">
        <v>21</v>
      </c>
      <c r="AE30" s="57">
        <v>47</v>
      </c>
      <c r="AF30" s="17">
        <v>41</v>
      </c>
      <c r="AG30" s="17">
        <v>36</v>
      </c>
      <c r="AH30" s="17"/>
      <c r="AI30" s="17">
        <f>11+11</f>
        <v>22</v>
      </c>
      <c r="AJ30" s="17"/>
      <c r="AK30" s="17"/>
      <c r="AL30" s="17">
        <f>21+5</f>
        <v>26</v>
      </c>
    </row>
    <row r="31" spans="2:38" ht="13.5">
      <c r="B31" s="18" t="s">
        <v>58</v>
      </c>
      <c r="C31" s="14">
        <v>208</v>
      </c>
      <c r="D31" s="14">
        <v>135</v>
      </c>
      <c r="E31" s="14">
        <v>159</v>
      </c>
      <c r="F31" s="14">
        <v>138</v>
      </c>
      <c r="G31" s="14">
        <v>154</v>
      </c>
      <c r="H31" s="14">
        <v>129</v>
      </c>
      <c r="I31" s="14">
        <v>212</v>
      </c>
      <c r="J31" s="14">
        <v>171</v>
      </c>
      <c r="K31" s="14">
        <v>206</v>
      </c>
      <c r="L31" s="15">
        <v>182</v>
      </c>
      <c r="M31" s="16">
        <v>142</v>
      </c>
      <c r="N31" s="17">
        <v>136</v>
      </c>
      <c r="O31" s="17">
        <v>107</v>
      </c>
      <c r="P31" s="17">
        <v>171</v>
      </c>
      <c r="Q31" s="17">
        <v>146</v>
      </c>
      <c r="R31" s="17">
        <v>148</v>
      </c>
      <c r="S31" s="17">
        <v>66</v>
      </c>
      <c r="T31" s="17">
        <v>51</v>
      </c>
      <c r="U31" s="17">
        <v>64</v>
      </c>
      <c r="V31" s="17">
        <v>29</v>
      </c>
      <c r="W31" s="17">
        <v>53</v>
      </c>
      <c r="X31" s="17">
        <v>66</v>
      </c>
      <c r="Y31" s="17">
        <v>94</v>
      </c>
      <c r="Z31" s="17">
        <v>69</v>
      </c>
      <c r="AA31" s="17">
        <v>105</v>
      </c>
      <c r="AB31" s="56">
        <f>('[1]Occidente Sur'!B13)</f>
        <v>71</v>
      </c>
      <c r="AC31" s="57">
        <v>134</v>
      </c>
      <c r="AD31" s="57">
        <v>134</v>
      </c>
      <c r="AE31" s="57">
        <v>118</v>
      </c>
      <c r="AF31" s="17">
        <v>131</v>
      </c>
      <c r="AG31" s="17">
        <v>91</v>
      </c>
      <c r="AH31" s="17">
        <f>8+23+19+27</f>
        <v>77</v>
      </c>
      <c r="AI31" s="17">
        <f>5+23</f>
        <v>28</v>
      </c>
      <c r="AJ31" s="17"/>
      <c r="AK31" s="17"/>
      <c r="AL31" s="17">
        <v>26</v>
      </c>
    </row>
    <row r="32" spans="2:38" ht="13.5">
      <c r="B32" s="18" t="s">
        <v>59</v>
      </c>
      <c r="C32" s="14">
        <v>36</v>
      </c>
      <c r="D32" s="14">
        <v>50</v>
      </c>
      <c r="E32" s="14">
        <v>76</v>
      </c>
      <c r="F32" s="14">
        <v>64</v>
      </c>
      <c r="G32" s="14">
        <v>34</v>
      </c>
      <c r="H32" s="14">
        <v>24</v>
      </c>
      <c r="I32" s="14">
        <v>13</v>
      </c>
      <c r="J32" s="14"/>
      <c r="K32" s="14">
        <v>8</v>
      </c>
      <c r="L32" s="15">
        <v>5</v>
      </c>
      <c r="M32" s="16"/>
      <c r="N32" s="17">
        <v>0</v>
      </c>
      <c r="O32" s="17">
        <v>26</v>
      </c>
      <c r="P32" s="17">
        <v>53</v>
      </c>
      <c r="Q32" s="17">
        <v>12</v>
      </c>
      <c r="R32" s="17">
        <v>8</v>
      </c>
      <c r="S32" s="17">
        <v>5</v>
      </c>
      <c r="T32" s="17">
        <v>7</v>
      </c>
      <c r="U32" s="17">
        <v>6</v>
      </c>
      <c r="V32" s="17">
        <v>37</v>
      </c>
      <c r="W32" s="17">
        <v>0</v>
      </c>
      <c r="X32" s="17">
        <v>6</v>
      </c>
      <c r="Y32" s="17">
        <v>0</v>
      </c>
      <c r="Z32" s="17">
        <v>0</v>
      </c>
      <c r="AA32" s="17">
        <v>0</v>
      </c>
      <c r="AB32" s="56">
        <f>('[1]Cuenca Navia'!B15)</f>
        <v>0</v>
      </c>
      <c r="AC32" s="57">
        <v>0</v>
      </c>
      <c r="AD32" s="57">
        <v>0</v>
      </c>
      <c r="AE32" s="57">
        <v>0</v>
      </c>
      <c r="AF32" s="17">
        <v>0</v>
      </c>
      <c r="AG32" s="17"/>
      <c r="AH32" s="17"/>
      <c r="AI32" s="17"/>
      <c r="AJ32" s="17">
        <v>2</v>
      </c>
      <c r="AK32" s="17">
        <v>7</v>
      </c>
      <c r="AL32" s="17">
        <v>5</v>
      </c>
    </row>
    <row r="33" spans="2:38" ht="13.5">
      <c r="B33" s="18" t="s">
        <v>60</v>
      </c>
      <c r="C33" s="14"/>
      <c r="D33" s="14"/>
      <c r="E33" s="14"/>
      <c r="F33" s="14"/>
      <c r="G33" s="14"/>
      <c r="H33" s="14"/>
      <c r="I33" s="14"/>
      <c r="J33" s="14"/>
      <c r="K33" s="14"/>
      <c r="L33" s="15">
        <v>18</v>
      </c>
      <c r="M33" s="16"/>
      <c r="N33" s="17">
        <v>0</v>
      </c>
      <c r="O33" s="17">
        <v>0</v>
      </c>
      <c r="P33" s="17">
        <v>17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2</v>
      </c>
      <c r="Y33" s="17">
        <v>0</v>
      </c>
      <c r="Z33" s="17">
        <v>0</v>
      </c>
      <c r="AA33" s="17">
        <v>0</v>
      </c>
      <c r="AB33" s="56">
        <f>('[1]Aviles'!B22)</f>
        <v>0</v>
      </c>
      <c r="AC33" s="57">
        <v>0</v>
      </c>
      <c r="AD33" s="57">
        <v>0</v>
      </c>
      <c r="AE33" s="57">
        <v>0</v>
      </c>
      <c r="AF33" s="17">
        <v>0</v>
      </c>
      <c r="AG33" s="17"/>
      <c r="AH33" s="17"/>
      <c r="AI33" s="17"/>
      <c r="AJ33" s="17"/>
      <c r="AK33" s="17"/>
      <c r="AL33" s="17"/>
    </row>
    <row r="34" spans="2:38" ht="13.5">
      <c r="B34" s="18" t="s">
        <v>61</v>
      </c>
      <c r="C34" s="14">
        <v>700</v>
      </c>
      <c r="D34" s="14">
        <v>518</v>
      </c>
      <c r="E34" s="14">
        <v>1168</v>
      </c>
      <c r="F34" s="14">
        <v>1403</v>
      </c>
      <c r="G34" s="14">
        <v>1516</v>
      </c>
      <c r="H34" s="14">
        <v>1488</v>
      </c>
      <c r="I34" s="14">
        <v>1421</v>
      </c>
      <c r="J34" s="14">
        <v>1905</v>
      </c>
      <c r="K34" s="14">
        <v>1967</v>
      </c>
      <c r="L34" s="15">
        <v>1937</v>
      </c>
      <c r="M34" s="19">
        <v>1924</v>
      </c>
      <c r="N34" s="17">
        <v>2117</v>
      </c>
      <c r="O34" s="17">
        <v>2094</v>
      </c>
      <c r="P34" s="17">
        <v>1538</v>
      </c>
      <c r="Q34" s="17">
        <v>1302</v>
      </c>
      <c r="R34" s="17">
        <v>956</v>
      </c>
      <c r="S34" s="17">
        <v>1052</v>
      </c>
      <c r="T34" s="17">
        <v>861</v>
      </c>
      <c r="U34" s="17">
        <v>822</v>
      </c>
      <c r="V34" s="17">
        <v>788</v>
      </c>
      <c r="W34" s="17">
        <v>789</v>
      </c>
      <c r="X34" s="17">
        <v>874</v>
      </c>
      <c r="Y34" s="17">
        <v>827</v>
      </c>
      <c r="Z34" s="17">
        <v>853</v>
      </c>
      <c r="AA34" s="17">
        <v>814</v>
      </c>
      <c r="AB34" s="56">
        <f>('[1]Nalon'!B11)</f>
        <v>714</v>
      </c>
      <c r="AC34" s="57">
        <v>717</v>
      </c>
      <c r="AD34" s="57">
        <v>824</v>
      </c>
      <c r="AE34" s="57">
        <v>864</v>
      </c>
      <c r="AF34" s="17">
        <v>983</v>
      </c>
      <c r="AG34" s="17">
        <v>1120</v>
      </c>
      <c r="AH34" s="17">
        <f>476+388+291</f>
        <v>1155</v>
      </c>
      <c r="AI34" s="17">
        <f>766+496</f>
        <v>1262</v>
      </c>
      <c r="AJ34" s="17">
        <f>238+252</f>
        <v>490</v>
      </c>
      <c r="AK34" s="17">
        <f>408+324+353</f>
        <v>1085</v>
      </c>
      <c r="AL34" s="17">
        <f>511+561+432</f>
        <v>1504</v>
      </c>
    </row>
    <row r="35" spans="2:38" ht="13.5">
      <c r="B35" s="18" t="s">
        <v>62</v>
      </c>
      <c r="C35" s="14"/>
      <c r="D35" s="14"/>
      <c r="E35" s="14"/>
      <c r="F35" s="14">
        <v>98</v>
      </c>
      <c r="G35" s="14">
        <v>14</v>
      </c>
      <c r="H35" s="14">
        <v>21</v>
      </c>
      <c r="I35" s="14">
        <v>26</v>
      </c>
      <c r="J35" s="14">
        <v>7</v>
      </c>
      <c r="K35" s="14">
        <v>21</v>
      </c>
      <c r="L35" s="15">
        <v>11</v>
      </c>
      <c r="M35" s="16">
        <v>5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318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56">
        <f>('[1]Oviedo'!B11)</f>
        <v>0</v>
      </c>
      <c r="AC35" s="57">
        <v>0</v>
      </c>
      <c r="AD35" s="57">
        <v>0</v>
      </c>
      <c r="AE35" s="57">
        <v>0</v>
      </c>
      <c r="AF35" s="17">
        <v>15</v>
      </c>
      <c r="AG35" s="17"/>
      <c r="AH35" s="17">
        <v>2</v>
      </c>
      <c r="AI35" s="17">
        <v>1</v>
      </c>
      <c r="AJ35" s="17"/>
      <c r="AK35" s="17">
        <v>19</v>
      </c>
      <c r="AL35" s="17">
        <f>1+12</f>
        <v>13</v>
      </c>
    </row>
    <row r="36" spans="2:38" ht="13.5">
      <c r="B36" s="18" t="s">
        <v>63</v>
      </c>
      <c r="C36" s="14">
        <v>231</v>
      </c>
      <c r="D36" s="14">
        <v>181</v>
      </c>
      <c r="E36" s="14">
        <v>450</v>
      </c>
      <c r="F36" s="14">
        <v>419</v>
      </c>
      <c r="G36" s="14">
        <v>499</v>
      </c>
      <c r="H36" s="14">
        <v>514</v>
      </c>
      <c r="I36" s="14">
        <v>565</v>
      </c>
      <c r="J36" s="14">
        <v>662</v>
      </c>
      <c r="K36" s="14">
        <v>869</v>
      </c>
      <c r="L36" s="15">
        <v>586</v>
      </c>
      <c r="M36" s="16">
        <v>836</v>
      </c>
      <c r="N36" s="17">
        <v>956</v>
      </c>
      <c r="O36" s="17">
        <v>832</v>
      </c>
      <c r="P36" s="17">
        <v>517</v>
      </c>
      <c r="Q36" s="17">
        <v>635</v>
      </c>
      <c r="R36" s="17">
        <v>657</v>
      </c>
      <c r="S36" s="17">
        <v>386</v>
      </c>
      <c r="T36" s="17">
        <v>435</v>
      </c>
      <c r="U36" s="17">
        <v>422</v>
      </c>
      <c r="V36" s="17">
        <v>460</v>
      </c>
      <c r="W36" s="17">
        <v>401</v>
      </c>
      <c r="X36" s="17">
        <v>381</v>
      </c>
      <c r="Y36" s="17">
        <v>366</v>
      </c>
      <c r="Z36" s="17">
        <v>474</v>
      </c>
      <c r="AA36" s="17">
        <v>549</v>
      </c>
      <c r="AB36" s="56">
        <f>('[1]Nalon'!B12)</f>
        <v>495</v>
      </c>
      <c r="AC36" s="57">
        <v>430</v>
      </c>
      <c r="AD36" s="57">
        <v>395</v>
      </c>
      <c r="AE36" s="57">
        <v>337</v>
      </c>
      <c r="AF36" s="17">
        <v>366</v>
      </c>
      <c r="AG36" s="17">
        <v>415</v>
      </c>
      <c r="AH36" s="17">
        <f>136+133+83</f>
        <v>352</v>
      </c>
      <c r="AI36" s="17">
        <f>362+136</f>
        <v>498</v>
      </c>
      <c r="AJ36" s="17">
        <f>274+116</f>
        <v>390</v>
      </c>
      <c r="AK36" s="17">
        <f>128+208+307</f>
        <v>643</v>
      </c>
      <c r="AL36" s="17">
        <f>212+328+128</f>
        <v>668</v>
      </c>
    </row>
    <row r="37" spans="2:38" ht="13.5">
      <c r="B37" s="18" t="s">
        <v>64</v>
      </c>
      <c r="C37" s="14">
        <v>262</v>
      </c>
      <c r="D37" s="14">
        <v>251</v>
      </c>
      <c r="E37" s="14">
        <v>297</v>
      </c>
      <c r="F37" s="14">
        <v>384</v>
      </c>
      <c r="G37" s="14">
        <v>487</v>
      </c>
      <c r="H37" s="14">
        <v>534</v>
      </c>
      <c r="I37" s="14">
        <v>467</v>
      </c>
      <c r="J37" s="14">
        <v>466</v>
      </c>
      <c r="K37" s="14">
        <v>474</v>
      </c>
      <c r="L37" s="15">
        <v>413</v>
      </c>
      <c r="M37" s="16">
        <v>441</v>
      </c>
      <c r="N37" s="17">
        <v>529</v>
      </c>
      <c r="O37" s="17">
        <v>559</v>
      </c>
      <c r="P37" s="17">
        <v>486</v>
      </c>
      <c r="Q37" s="17">
        <v>551</v>
      </c>
      <c r="R37" s="17">
        <v>503</v>
      </c>
      <c r="S37" s="17">
        <v>272</v>
      </c>
      <c r="T37" s="17">
        <v>220</v>
      </c>
      <c r="U37" s="17">
        <v>213</v>
      </c>
      <c r="V37" s="17">
        <v>219</v>
      </c>
      <c r="W37" s="17">
        <v>275</v>
      </c>
      <c r="X37" s="17">
        <v>208</v>
      </c>
      <c r="Y37" s="17">
        <v>171</v>
      </c>
      <c r="Z37" s="17">
        <v>153</v>
      </c>
      <c r="AA37" s="17">
        <v>201</v>
      </c>
      <c r="AB37" s="56">
        <f>('[1]Caudal'!C9)</f>
        <v>181</v>
      </c>
      <c r="AC37" s="57">
        <v>231</v>
      </c>
      <c r="AD37" s="57">
        <v>268</v>
      </c>
      <c r="AE37" s="57">
        <v>316</v>
      </c>
      <c r="AF37" s="17">
        <v>379</v>
      </c>
      <c r="AG37" s="17">
        <v>233</v>
      </c>
      <c r="AH37" s="17">
        <f>64+105+109</f>
        <v>278</v>
      </c>
      <c r="AI37" s="17">
        <f>121+72+211</f>
        <v>404</v>
      </c>
      <c r="AJ37" s="17">
        <f>63+84</f>
        <v>147</v>
      </c>
      <c r="AK37" s="17">
        <f>84+68+56+167</f>
        <v>375</v>
      </c>
      <c r="AL37" s="17">
        <f>121+75+92+235</f>
        <v>523</v>
      </c>
    </row>
    <row r="38" spans="2:38" ht="13.5">
      <c r="B38" s="18" t="s">
        <v>65</v>
      </c>
      <c r="C38" s="14">
        <v>357</v>
      </c>
      <c r="D38" s="14">
        <v>387</v>
      </c>
      <c r="E38" s="14">
        <v>436</v>
      </c>
      <c r="F38" s="14">
        <v>484</v>
      </c>
      <c r="G38" s="14">
        <v>537</v>
      </c>
      <c r="H38" s="14">
        <v>532</v>
      </c>
      <c r="I38" s="14">
        <v>648</v>
      </c>
      <c r="J38" s="14">
        <v>739</v>
      </c>
      <c r="K38" s="14">
        <v>674</v>
      </c>
      <c r="L38" s="15">
        <v>703</v>
      </c>
      <c r="M38" s="16">
        <v>777</v>
      </c>
      <c r="N38" s="17">
        <v>653</v>
      </c>
      <c r="O38" s="17">
        <v>835</v>
      </c>
      <c r="P38" s="17">
        <v>894</v>
      </c>
      <c r="Q38" s="17">
        <v>949</v>
      </c>
      <c r="R38" s="17">
        <v>950</v>
      </c>
      <c r="S38" s="17">
        <v>891</v>
      </c>
      <c r="T38" s="17">
        <v>343</v>
      </c>
      <c r="U38" s="17">
        <v>684</v>
      </c>
      <c r="V38" s="17">
        <v>334</v>
      </c>
      <c r="W38" s="17">
        <v>284</v>
      </c>
      <c r="X38" s="17">
        <v>304</v>
      </c>
      <c r="Y38" s="17">
        <v>321</v>
      </c>
      <c r="Z38" s="17">
        <v>317</v>
      </c>
      <c r="AA38" s="17">
        <v>321</v>
      </c>
      <c r="AB38" s="56">
        <f>('[1]Oviedo'!B12)</f>
        <v>333</v>
      </c>
      <c r="AC38" s="57">
        <v>665</v>
      </c>
      <c r="AD38" s="57">
        <v>557</v>
      </c>
      <c r="AE38" s="57">
        <v>643</v>
      </c>
      <c r="AF38" s="17">
        <v>752</v>
      </c>
      <c r="AG38" s="17">
        <f>782+15</f>
        <v>797</v>
      </c>
      <c r="AH38" s="17">
        <f>160+223+462+9</f>
        <v>854</v>
      </c>
      <c r="AI38" s="17">
        <f>465+140+16</f>
        <v>621</v>
      </c>
      <c r="AJ38" s="17">
        <f>258+116</f>
        <v>374</v>
      </c>
      <c r="AK38" s="17">
        <f>140+230+437</f>
        <v>807</v>
      </c>
      <c r="AL38" s="17">
        <f>199+402+168+21</f>
        <v>790</v>
      </c>
    </row>
    <row r="39" spans="2:38" ht="13.5">
      <c r="B39" s="18" t="s">
        <v>66</v>
      </c>
      <c r="C39" s="14">
        <v>329</v>
      </c>
      <c r="D39" s="14">
        <v>407</v>
      </c>
      <c r="E39" s="14">
        <v>222</v>
      </c>
      <c r="F39" s="14">
        <v>520</v>
      </c>
      <c r="G39" s="14">
        <v>345</v>
      </c>
      <c r="H39" s="14">
        <v>370</v>
      </c>
      <c r="I39" s="14">
        <v>398</v>
      </c>
      <c r="J39" s="14">
        <v>314</v>
      </c>
      <c r="K39" s="14">
        <v>251</v>
      </c>
      <c r="L39" s="15">
        <v>378</v>
      </c>
      <c r="M39" s="16">
        <v>388</v>
      </c>
      <c r="N39" s="17">
        <v>402</v>
      </c>
      <c r="O39" s="17">
        <v>469</v>
      </c>
      <c r="P39" s="17">
        <v>532</v>
      </c>
      <c r="Q39" s="17">
        <v>499</v>
      </c>
      <c r="R39" s="17">
        <v>527</v>
      </c>
      <c r="S39" s="17">
        <v>424</v>
      </c>
      <c r="T39" s="17">
        <v>405</v>
      </c>
      <c r="U39" s="17">
        <v>399</v>
      </c>
      <c r="V39" s="17">
        <v>418</v>
      </c>
      <c r="W39" s="17">
        <v>382</v>
      </c>
      <c r="X39" s="17">
        <v>318</v>
      </c>
      <c r="Y39" s="17">
        <v>371</v>
      </c>
      <c r="Z39" s="17">
        <v>376</v>
      </c>
      <c r="AA39" s="17">
        <v>390</v>
      </c>
      <c r="AB39" s="56">
        <f>('[1]Oriente'!B19)</f>
        <v>522</v>
      </c>
      <c r="AC39" s="57">
        <v>511</v>
      </c>
      <c r="AD39" s="57">
        <v>614</v>
      </c>
      <c r="AE39" s="57">
        <v>917</v>
      </c>
      <c r="AF39" s="17">
        <v>998</v>
      </c>
      <c r="AG39" s="17">
        <v>922</v>
      </c>
      <c r="AH39" s="17">
        <f>180+459+349+9+319+26</f>
        <v>1342</v>
      </c>
      <c r="AI39" s="17">
        <f>408+220+219</f>
        <v>847</v>
      </c>
      <c r="AJ39" s="17">
        <f>327+40+136</f>
        <v>503</v>
      </c>
      <c r="AK39" s="17">
        <f>160+339+242+4+15+185</f>
        <v>945</v>
      </c>
      <c r="AL39" s="17">
        <f>445+311+212+184+15</f>
        <v>1167</v>
      </c>
    </row>
    <row r="40" spans="2:38" ht="13.5">
      <c r="B40" s="18" t="s">
        <v>67</v>
      </c>
      <c r="C40" s="14">
        <v>674</v>
      </c>
      <c r="D40" s="14">
        <v>1085</v>
      </c>
      <c r="E40" s="14">
        <v>950</v>
      </c>
      <c r="F40" s="14">
        <v>1182</v>
      </c>
      <c r="G40" s="14">
        <v>1111</v>
      </c>
      <c r="H40" s="14">
        <v>1170</v>
      </c>
      <c r="I40" s="14">
        <v>1188</v>
      </c>
      <c r="J40" s="14">
        <v>1385</v>
      </c>
      <c r="K40" s="14">
        <v>1365</v>
      </c>
      <c r="L40" s="15">
        <v>1503</v>
      </c>
      <c r="M40" s="19">
        <v>1426</v>
      </c>
      <c r="N40" s="17">
        <v>1492</v>
      </c>
      <c r="O40" s="17">
        <v>1350</v>
      </c>
      <c r="P40" s="17">
        <v>1149</v>
      </c>
      <c r="Q40" s="17">
        <v>1326</v>
      </c>
      <c r="R40" s="17">
        <v>1275</v>
      </c>
      <c r="S40" s="17">
        <v>1030</v>
      </c>
      <c r="T40" s="17">
        <v>845</v>
      </c>
      <c r="U40" s="17">
        <v>778</v>
      </c>
      <c r="V40" s="17">
        <v>745</v>
      </c>
      <c r="W40" s="17">
        <v>793</v>
      </c>
      <c r="X40" s="17">
        <v>804</v>
      </c>
      <c r="Y40" s="17">
        <v>815</v>
      </c>
      <c r="Z40" s="17">
        <v>833</v>
      </c>
      <c r="AA40" s="17">
        <v>807</v>
      </c>
      <c r="AB40" s="56">
        <f>('[1]Caudal'!C10)</f>
        <v>760</v>
      </c>
      <c r="AC40" s="57">
        <v>1014</v>
      </c>
      <c r="AD40" s="57">
        <v>1091</v>
      </c>
      <c r="AE40" s="57">
        <v>1469</v>
      </c>
      <c r="AF40" s="17">
        <v>1527</v>
      </c>
      <c r="AG40" s="17">
        <v>1351</v>
      </c>
      <c r="AH40" s="17">
        <f>280+240+122+813+20</f>
        <v>1475</v>
      </c>
      <c r="AI40" s="17">
        <f>271+268+6+752</f>
        <v>1297</v>
      </c>
      <c r="AJ40" s="17">
        <f>133+36+196</f>
        <v>365</v>
      </c>
      <c r="AK40" s="17">
        <f>232+152+195+41+406</f>
        <v>1026</v>
      </c>
      <c r="AL40" s="17">
        <f>281+221+264+774+40</f>
        <v>1580</v>
      </c>
    </row>
    <row r="41" spans="2:38" ht="13.5">
      <c r="B41" s="18" t="s">
        <v>68</v>
      </c>
      <c r="C41" s="14">
        <v>35</v>
      </c>
      <c r="D41" s="14">
        <v>76</v>
      </c>
      <c r="E41" s="14"/>
      <c r="F41" s="14"/>
      <c r="G41" s="14">
        <v>5</v>
      </c>
      <c r="H41" s="14">
        <v>10</v>
      </c>
      <c r="I41" s="14">
        <v>57</v>
      </c>
      <c r="J41" s="14"/>
      <c r="K41" s="14">
        <v>16</v>
      </c>
      <c r="L41" s="15"/>
      <c r="M41" s="16"/>
      <c r="N41" s="17">
        <v>48</v>
      </c>
      <c r="O41" s="17">
        <v>15</v>
      </c>
      <c r="P41" s="17">
        <v>0</v>
      </c>
      <c r="Q41" s="17">
        <v>0</v>
      </c>
      <c r="R41" s="17">
        <v>11</v>
      </c>
      <c r="S41" s="17">
        <v>0</v>
      </c>
      <c r="T41" s="17">
        <v>112</v>
      </c>
      <c r="U41" s="17">
        <v>12</v>
      </c>
      <c r="V41" s="17">
        <v>26</v>
      </c>
      <c r="W41" s="17">
        <v>14</v>
      </c>
      <c r="X41" s="17">
        <v>14</v>
      </c>
      <c r="Y41" s="17">
        <v>26</v>
      </c>
      <c r="Z41" s="17">
        <v>46</v>
      </c>
      <c r="AA41" s="17">
        <v>58</v>
      </c>
      <c r="AB41" s="56">
        <f>('[1]Oviedo'!B13)</f>
        <v>64</v>
      </c>
      <c r="AC41" s="57">
        <v>75</v>
      </c>
      <c r="AD41" s="57">
        <v>69</v>
      </c>
      <c r="AE41" s="57">
        <v>74</v>
      </c>
      <c r="AF41" s="17">
        <v>65</v>
      </c>
      <c r="AG41" s="17">
        <v>50</v>
      </c>
      <c r="AH41" s="17">
        <f>32+1+10+12</f>
        <v>55</v>
      </c>
      <c r="AI41" s="17">
        <f>21+32</f>
        <v>53</v>
      </c>
      <c r="AJ41" s="17">
        <f>9+52</f>
        <v>61</v>
      </c>
      <c r="AK41" s="17">
        <f>52+15+6</f>
        <v>73</v>
      </c>
      <c r="AL41" s="17">
        <f>15+32</f>
        <v>47</v>
      </c>
    </row>
    <row r="42" spans="2:38" ht="13.5">
      <c r="B42" s="18" t="s">
        <v>69</v>
      </c>
      <c r="C42" s="14">
        <v>32</v>
      </c>
      <c r="D42" s="14"/>
      <c r="E42" s="14">
        <v>125</v>
      </c>
      <c r="F42" s="14">
        <v>103</v>
      </c>
      <c r="G42" s="14">
        <v>85</v>
      </c>
      <c r="H42" s="14">
        <v>58</v>
      </c>
      <c r="I42" s="14">
        <v>53</v>
      </c>
      <c r="J42" s="14">
        <v>28</v>
      </c>
      <c r="K42" s="14">
        <v>62</v>
      </c>
      <c r="L42" s="15">
        <v>32</v>
      </c>
      <c r="M42" s="16">
        <v>51</v>
      </c>
      <c r="N42" s="17">
        <v>5</v>
      </c>
      <c r="O42" s="17">
        <v>9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3</v>
      </c>
      <c r="Y42" s="17">
        <v>0</v>
      </c>
      <c r="Z42" s="17">
        <v>8</v>
      </c>
      <c r="AA42" s="17">
        <v>0</v>
      </c>
      <c r="AB42" s="56">
        <f>('[1]Aviles'!B23)</f>
        <v>0</v>
      </c>
      <c r="AC42" s="57">
        <v>0</v>
      </c>
      <c r="AD42" s="57">
        <v>0</v>
      </c>
      <c r="AE42" s="57">
        <v>30</v>
      </c>
      <c r="AF42" s="17">
        <v>28</v>
      </c>
      <c r="AG42" s="17">
        <v>33</v>
      </c>
      <c r="AH42" s="17">
        <f>8+5</f>
        <v>13</v>
      </c>
      <c r="AI42" s="17"/>
      <c r="AJ42" s="17"/>
      <c r="AK42" s="17">
        <v>1</v>
      </c>
      <c r="AL42" s="17">
        <v>6</v>
      </c>
    </row>
    <row r="43" spans="2:38" ht="13.5">
      <c r="B43" s="18" t="s">
        <v>70</v>
      </c>
      <c r="C43" s="14">
        <v>72</v>
      </c>
      <c r="D43" s="14">
        <v>115</v>
      </c>
      <c r="E43" s="14">
        <v>99</v>
      </c>
      <c r="F43" s="14">
        <v>155</v>
      </c>
      <c r="G43" s="14">
        <v>326</v>
      </c>
      <c r="H43" s="14">
        <v>220</v>
      </c>
      <c r="I43" s="14">
        <v>186</v>
      </c>
      <c r="J43" s="14">
        <v>214</v>
      </c>
      <c r="K43" s="14">
        <v>133</v>
      </c>
      <c r="L43" s="15">
        <v>160</v>
      </c>
      <c r="M43" s="16">
        <v>131</v>
      </c>
      <c r="N43" s="17">
        <v>271</v>
      </c>
      <c r="O43" s="17">
        <v>229</v>
      </c>
      <c r="P43" s="17">
        <v>242</v>
      </c>
      <c r="Q43" s="17">
        <v>291</v>
      </c>
      <c r="R43" s="17">
        <v>250</v>
      </c>
      <c r="S43" s="17">
        <v>244</v>
      </c>
      <c r="T43" s="17">
        <v>226</v>
      </c>
      <c r="U43" s="17">
        <v>335</v>
      </c>
      <c r="V43" s="17">
        <v>263</v>
      </c>
      <c r="W43" s="17">
        <v>169</v>
      </c>
      <c r="X43" s="17">
        <v>204</v>
      </c>
      <c r="Y43" s="17">
        <v>225</v>
      </c>
      <c r="Z43" s="17">
        <v>236</v>
      </c>
      <c r="AA43" s="17">
        <v>266</v>
      </c>
      <c r="AB43" s="56">
        <f>('[1]Siero'!B18)</f>
        <v>869</v>
      </c>
      <c r="AC43" s="57">
        <v>371</v>
      </c>
      <c r="AD43" s="57">
        <v>424</v>
      </c>
      <c r="AE43" s="57">
        <v>535</v>
      </c>
      <c r="AF43" s="17">
        <v>343</v>
      </c>
      <c r="AG43" s="17">
        <v>360</v>
      </c>
      <c r="AH43" s="17">
        <f>52+113+143+20</f>
        <v>328</v>
      </c>
      <c r="AI43" s="17">
        <f>160+52</f>
        <v>212</v>
      </c>
      <c r="AJ43" s="17">
        <f>37+52</f>
        <v>89</v>
      </c>
      <c r="AK43" s="17">
        <f>64+189+111+19+4</f>
        <v>387</v>
      </c>
      <c r="AL43" s="17">
        <f>221+166+64+6</f>
        <v>457</v>
      </c>
    </row>
    <row r="44" spans="2:38" ht="13.5">
      <c r="B44" s="18" t="s">
        <v>71</v>
      </c>
      <c r="C44" s="14">
        <v>686</v>
      </c>
      <c r="D44" s="14">
        <v>824</v>
      </c>
      <c r="E44" s="14">
        <v>479</v>
      </c>
      <c r="F44" s="14">
        <v>466</v>
      </c>
      <c r="G44" s="14">
        <v>370</v>
      </c>
      <c r="H44" s="14">
        <v>173</v>
      </c>
      <c r="I44" s="14">
        <v>173</v>
      </c>
      <c r="J44" s="14">
        <v>209</v>
      </c>
      <c r="K44" s="14">
        <v>243</v>
      </c>
      <c r="L44" s="15">
        <v>218</v>
      </c>
      <c r="M44" s="16">
        <v>273</v>
      </c>
      <c r="N44" s="17">
        <v>251</v>
      </c>
      <c r="O44" s="17">
        <v>334</v>
      </c>
      <c r="P44" s="17">
        <v>314</v>
      </c>
      <c r="Q44" s="17">
        <v>249</v>
      </c>
      <c r="R44" s="17">
        <v>243</v>
      </c>
      <c r="S44" s="17">
        <v>274</v>
      </c>
      <c r="T44" s="17">
        <v>286</v>
      </c>
      <c r="U44" s="17">
        <v>329</v>
      </c>
      <c r="V44" s="17">
        <v>271</v>
      </c>
      <c r="W44" s="17">
        <v>247</v>
      </c>
      <c r="X44" s="17">
        <v>278</v>
      </c>
      <c r="Y44" s="17">
        <v>209</v>
      </c>
      <c r="Z44" s="17">
        <v>248</v>
      </c>
      <c r="AA44" s="17">
        <v>283</v>
      </c>
      <c r="AB44" s="56">
        <f>('[1]Cuenca Navia'!B16)</f>
        <v>302</v>
      </c>
      <c r="AC44" s="57">
        <v>286</v>
      </c>
      <c r="AD44" s="57">
        <v>337</v>
      </c>
      <c r="AE44" s="57">
        <v>370</v>
      </c>
      <c r="AF44" s="17">
        <v>482</v>
      </c>
      <c r="AG44" s="17">
        <v>481</v>
      </c>
      <c r="AH44" s="17">
        <f>116+1+177+178</f>
        <v>472</v>
      </c>
      <c r="AI44" s="17">
        <f>266+168+132</f>
        <v>566</v>
      </c>
      <c r="AJ44" s="17">
        <f>215+104</f>
        <v>319</v>
      </c>
      <c r="AK44" s="17">
        <f>168+155+112</f>
        <v>435</v>
      </c>
      <c r="AL44" s="17">
        <f>207+142+136+3</f>
        <v>488</v>
      </c>
    </row>
    <row r="45" spans="2:38" ht="13.5">
      <c r="B45" s="18" t="s">
        <v>72</v>
      </c>
      <c r="C45" s="14">
        <v>23</v>
      </c>
      <c r="D45" s="14">
        <v>190</v>
      </c>
      <c r="E45" s="14">
        <v>143</v>
      </c>
      <c r="F45" s="14">
        <v>163</v>
      </c>
      <c r="G45" s="14">
        <v>239</v>
      </c>
      <c r="H45" s="14">
        <v>223</v>
      </c>
      <c r="I45" s="14">
        <v>263</v>
      </c>
      <c r="J45" s="14">
        <v>313</v>
      </c>
      <c r="K45" s="14">
        <v>347</v>
      </c>
      <c r="L45" s="15">
        <v>266</v>
      </c>
      <c r="M45" s="16">
        <v>267</v>
      </c>
      <c r="N45" s="17">
        <v>254</v>
      </c>
      <c r="O45" s="17">
        <v>215</v>
      </c>
      <c r="P45" s="17">
        <v>192</v>
      </c>
      <c r="Q45" s="17">
        <v>349</v>
      </c>
      <c r="R45" s="17">
        <v>313</v>
      </c>
      <c r="S45" s="17">
        <v>269</v>
      </c>
      <c r="T45" s="17">
        <v>327</v>
      </c>
      <c r="U45" s="17">
        <v>362</v>
      </c>
      <c r="V45" s="17">
        <v>265</v>
      </c>
      <c r="W45" s="17">
        <v>344</v>
      </c>
      <c r="X45" s="17">
        <v>460</v>
      </c>
      <c r="Y45" s="17">
        <v>342</v>
      </c>
      <c r="Z45" s="17">
        <v>367</v>
      </c>
      <c r="AA45" s="17">
        <v>287</v>
      </c>
      <c r="AB45" s="56">
        <f>('[1]Siero'!B19)</f>
        <v>304</v>
      </c>
      <c r="AC45" s="57">
        <v>260</v>
      </c>
      <c r="AD45" s="57">
        <v>370</v>
      </c>
      <c r="AE45" s="57">
        <v>575</v>
      </c>
      <c r="AF45" s="17">
        <v>302</v>
      </c>
      <c r="AG45" s="17">
        <v>298</v>
      </c>
      <c r="AH45" s="17">
        <f>76+109+141</f>
        <v>326</v>
      </c>
      <c r="AI45" s="17">
        <f>150+84</f>
        <v>234</v>
      </c>
      <c r="AJ45" s="17">
        <f>80+84</f>
        <v>164</v>
      </c>
      <c r="AK45" s="17">
        <f>84+170+125</f>
        <v>379</v>
      </c>
      <c r="AL45" s="17">
        <f>192+144+104</f>
        <v>440</v>
      </c>
    </row>
    <row r="46" spans="2:38" ht="13.5">
      <c r="B46" s="18" t="s">
        <v>73</v>
      </c>
      <c r="C46" s="14"/>
      <c r="D46" s="14"/>
      <c r="E46" s="14"/>
      <c r="F46" s="14"/>
      <c r="G46" s="14"/>
      <c r="H46" s="14"/>
      <c r="I46" s="14"/>
      <c r="J46" s="14"/>
      <c r="K46" s="14">
        <v>39</v>
      </c>
      <c r="L46" s="15">
        <v>73</v>
      </c>
      <c r="M46" s="16"/>
      <c r="N46" s="17">
        <v>21</v>
      </c>
      <c r="O46" s="17">
        <v>40</v>
      </c>
      <c r="P46" s="17">
        <v>42</v>
      </c>
      <c r="Q46" s="17">
        <v>52</v>
      </c>
      <c r="R46" s="17">
        <v>71</v>
      </c>
      <c r="S46" s="17">
        <v>30</v>
      </c>
      <c r="T46" s="17">
        <v>27</v>
      </c>
      <c r="U46" s="17">
        <v>31</v>
      </c>
      <c r="V46" s="17">
        <v>43</v>
      </c>
      <c r="W46" s="17">
        <v>28</v>
      </c>
      <c r="X46" s="17">
        <v>31</v>
      </c>
      <c r="Y46" s="17">
        <v>25</v>
      </c>
      <c r="Z46" s="17">
        <v>0</v>
      </c>
      <c r="AA46" s="17">
        <v>0</v>
      </c>
      <c r="AB46" s="56">
        <f>('[1]Oriente'!B20)</f>
        <v>44</v>
      </c>
      <c r="AC46" s="57">
        <v>42</v>
      </c>
      <c r="AD46" s="57">
        <v>56</v>
      </c>
      <c r="AE46" s="57">
        <v>74</v>
      </c>
      <c r="AF46" s="17">
        <v>49</v>
      </c>
      <c r="AG46" s="17">
        <v>49</v>
      </c>
      <c r="AH46" s="17">
        <f>19+38+29+10</f>
        <v>96</v>
      </c>
      <c r="AI46" s="17">
        <f>37+10+42</f>
        <v>89</v>
      </c>
      <c r="AJ46" s="17">
        <f>7+7</f>
        <v>14</v>
      </c>
      <c r="AK46" s="17">
        <f>47+47</f>
        <v>94</v>
      </c>
      <c r="AL46" s="17">
        <f>25+27+52</f>
        <v>104</v>
      </c>
    </row>
    <row r="47" spans="2:38" ht="13.5">
      <c r="B47" s="18" t="s">
        <v>74</v>
      </c>
      <c r="C47" s="14">
        <v>1465</v>
      </c>
      <c r="D47" s="14">
        <v>2550</v>
      </c>
      <c r="E47" s="14">
        <v>4131</v>
      </c>
      <c r="F47" s="14">
        <v>6162</v>
      </c>
      <c r="G47" s="14">
        <v>6533</v>
      </c>
      <c r="H47" s="14">
        <v>6501</v>
      </c>
      <c r="I47" s="14">
        <v>6316</v>
      </c>
      <c r="J47" s="14">
        <v>6461</v>
      </c>
      <c r="K47" s="14">
        <v>6962</v>
      </c>
      <c r="L47" s="15">
        <v>6920</v>
      </c>
      <c r="M47" s="19">
        <v>8478</v>
      </c>
      <c r="N47" s="17">
        <v>8771</v>
      </c>
      <c r="O47" s="17">
        <v>8752</v>
      </c>
      <c r="P47" s="17">
        <v>8676</v>
      </c>
      <c r="Q47" s="17">
        <v>8332</v>
      </c>
      <c r="R47" s="17">
        <v>8089</v>
      </c>
      <c r="S47" s="17">
        <v>7991</v>
      </c>
      <c r="T47" s="17">
        <v>6201</v>
      </c>
      <c r="U47" s="17">
        <v>6563</v>
      </c>
      <c r="V47" s="17">
        <v>7211</v>
      </c>
      <c r="W47" s="17">
        <v>7933</v>
      </c>
      <c r="X47" s="17">
        <v>8240</v>
      </c>
      <c r="Y47" s="17">
        <v>8406</v>
      </c>
      <c r="Z47" s="17">
        <v>8606</v>
      </c>
      <c r="AA47" s="17">
        <v>8854</v>
      </c>
      <c r="AB47" s="56">
        <f>('[1]Oviedo'!B14)</f>
        <v>8868</v>
      </c>
      <c r="AC47" s="57">
        <v>5627</v>
      </c>
      <c r="AD47" s="57">
        <v>6401</v>
      </c>
      <c r="AE47" s="57">
        <v>6372</v>
      </c>
      <c r="AF47" s="17">
        <v>6634</v>
      </c>
      <c r="AG47" s="17">
        <f>6233+258</f>
        <v>6491</v>
      </c>
      <c r="AH47" s="17">
        <f>2272+1+1879+2466+196</f>
        <v>6814</v>
      </c>
      <c r="AI47" s="17">
        <f>3846+2348+173</f>
        <v>6367</v>
      </c>
      <c r="AJ47" s="17">
        <f>2736+47+2092</f>
        <v>4875</v>
      </c>
      <c r="AK47" s="17">
        <f>2320+1894+2014+150</f>
        <v>6378</v>
      </c>
      <c r="AL47" s="17">
        <f>2324+2458+2416+166</f>
        <v>7364</v>
      </c>
    </row>
    <row r="48" spans="2:38" ht="13.5">
      <c r="B48" s="18" t="s">
        <v>75</v>
      </c>
      <c r="C48" s="14">
        <v>194</v>
      </c>
      <c r="D48" s="14">
        <v>149</v>
      </c>
      <c r="E48" s="14">
        <v>133</v>
      </c>
      <c r="F48" s="14">
        <v>95</v>
      </c>
      <c r="G48" s="14">
        <v>226</v>
      </c>
      <c r="H48" s="14">
        <v>227</v>
      </c>
      <c r="I48" s="14">
        <v>211</v>
      </c>
      <c r="J48" s="14">
        <v>222</v>
      </c>
      <c r="K48" s="14">
        <v>158</v>
      </c>
      <c r="L48" s="15">
        <v>91</v>
      </c>
      <c r="M48" s="16">
        <v>131</v>
      </c>
      <c r="N48" s="17">
        <v>260</v>
      </c>
      <c r="O48" s="17">
        <v>233</v>
      </c>
      <c r="P48" s="17">
        <v>302</v>
      </c>
      <c r="Q48" s="17">
        <v>484</v>
      </c>
      <c r="R48" s="17">
        <v>328</v>
      </c>
      <c r="S48" s="17">
        <v>427</v>
      </c>
      <c r="T48" s="17">
        <v>234</v>
      </c>
      <c r="U48" s="17">
        <v>225</v>
      </c>
      <c r="V48" s="17">
        <v>239</v>
      </c>
      <c r="W48" s="17">
        <v>267</v>
      </c>
      <c r="X48" s="17">
        <v>309</v>
      </c>
      <c r="Y48" s="17">
        <v>261</v>
      </c>
      <c r="Z48" s="17">
        <v>412</v>
      </c>
      <c r="AA48" s="17">
        <v>389</v>
      </c>
      <c r="AB48" s="56">
        <f>('[1]Oriente'!B21)</f>
        <v>373</v>
      </c>
      <c r="AC48" s="57">
        <v>358</v>
      </c>
      <c r="AD48" s="57">
        <v>358</v>
      </c>
      <c r="AE48" s="57">
        <v>440</v>
      </c>
      <c r="AF48" s="17">
        <v>456</v>
      </c>
      <c r="AG48" s="17">
        <f>354+23</f>
        <v>377</v>
      </c>
      <c r="AH48" s="17">
        <f>52+104+102+76+29</f>
        <v>363</v>
      </c>
      <c r="AI48" s="17">
        <f>103+44+19+73</f>
        <v>239</v>
      </c>
      <c r="AJ48" s="17">
        <f>55+3+10+64</f>
        <v>132</v>
      </c>
      <c r="AK48" s="17">
        <f>64+51+64+14+102</f>
        <v>295</v>
      </c>
      <c r="AL48" s="17">
        <f>19+64+108+16+35</f>
        <v>242</v>
      </c>
    </row>
    <row r="49" spans="2:38" ht="13.5">
      <c r="B49" s="18" t="s">
        <v>76</v>
      </c>
      <c r="C49" s="14"/>
      <c r="D49" s="14"/>
      <c r="E49" s="14">
        <v>2</v>
      </c>
      <c r="F49" s="14"/>
      <c r="G49" s="14"/>
      <c r="H49" s="14"/>
      <c r="I49" s="14"/>
      <c r="J49" s="14"/>
      <c r="K49" s="14"/>
      <c r="L49" s="15">
        <v>6</v>
      </c>
      <c r="M49" s="16">
        <v>4</v>
      </c>
      <c r="N49" s="17">
        <v>0</v>
      </c>
      <c r="O49" s="17">
        <v>16</v>
      </c>
      <c r="P49" s="17">
        <v>10</v>
      </c>
      <c r="Q49" s="17">
        <v>9</v>
      </c>
      <c r="R49" s="17">
        <v>0</v>
      </c>
      <c r="S49" s="17">
        <v>0</v>
      </c>
      <c r="T49" s="17">
        <v>8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56">
        <f>('[1]Oriente'!B22)</f>
        <v>0</v>
      </c>
      <c r="AC49" s="57">
        <v>0</v>
      </c>
      <c r="AD49" s="57">
        <v>0</v>
      </c>
      <c r="AE49" s="57">
        <v>0</v>
      </c>
      <c r="AF49" s="17">
        <v>0</v>
      </c>
      <c r="AG49" s="17"/>
      <c r="AH49" s="17"/>
      <c r="AI49" s="17"/>
      <c r="AJ49" s="17"/>
      <c r="AK49" s="17"/>
      <c r="AL49" s="17"/>
    </row>
    <row r="50" spans="2:38" ht="13.5">
      <c r="B50" s="18" t="s">
        <v>77</v>
      </c>
      <c r="C50" s="14"/>
      <c r="D50" s="14">
        <v>54</v>
      </c>
      <c r="E50" s="14">
        <v>11</v>
      </c>
      <c r="F50" s="14">
        <v>96</v>
      </c>
      <c r="G50" s="14">
        <v>46</v>
      </c>
      <c r="H50" s="14">
        <v>60</v>
      </c>
      <c r="I50" s="14">
        <v>46</v>
      </c>
      <c r="J50" s="14">
        <v>30</v>
      </c>
      <c r="K50" s="14">
        <v>50</v>
      </c>
      <c r="L50" s="15">
        <v>49</v>
      </c>
      <c r="M50" s="16">
        <v>49</v>
      </c>
      <c r="N50" s="17">
        <v>22</v>
      </c>
      <c r="O50" s="17">
        <v>35</v>
      </c>
      <c r="P50" s="17">
        <v>48</v>
      </c>
      <c r="Q50" s="17">
        <v>18</v>
      </c>
      <c r="R50" s="17">
        <v>21</v>
      </c>
      <c r="S50" s="17">
        <v>74</v>
      </c>
      <c r="T50" s="17">
        <v>29</v>
      </c>
      <c r="U50" s="17">
        <v>26</v>
      </c>
      <c r="V50" s="17">
        <v>55</v>
      </c>
      <c r="W50" s="17">
        <v>69</v>
      </c>
      <c r="X50" s="17">
        <v>0</v>
      </c>
      <c r="Y50" s="17">
        <v>72</v>
      </c>
      <c r="Z50" s="17">
        <v>73</v>
      </c>
      <c r="AA50" s="17">
        <v>66</v>
      </c>
      <c r="AB50" s="56">
        <f>('[1]Oriente'!B23)</f>
        <v>58</v>
      </c>
      <c r="AC50" s="57">
        <v>54</v>
      </c>
      <c r="AD50" s="57">
        <v>54</v>
      </c>
      <c r="AE50" s="57">
        <v>41</v>
      </c>
      <c r="AF50" s="17">
        <v>39</v>
      </c>
      <c r="AG50" s="17">
        <v>67</v>
      </c>
      <c r="AH50" s="17">
        <f>13+15+27</f>
        <v>55</v>
      </c>
      <c r="AI50" s="17">
        <f>39+13</f>
        <v>52</v>
      </c>
      <c r="AJ50" s="17"/>
      <c r="AK50" s="17">
        <f>23+15+40</f>
        <v>78</v>
      </c>
      <c r="AL50" s="17">
        <f>26+23+48</f>
        <v>97</v>
      </c>
    </row>
    <row r="51" spans="2:38" ht="13.5">
      <c r="B51" s="18" t="s">
        <v>78</v>
      </c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7"/>
      <c r="O51" s="17"/>
      <c r="P51" s="17">
        <v>0</v>
      </c>
      <c r="Q51" s="17"/>
      <c r="R51" s="17"/>
      <c r="S51" s="17"/>
      <c r="T51" s="17"/>
      <c r="U51" s="17"/>
      <c r="V51" s="17">
        <v>0</v>
      </c>
      <c r="W51" s="17"/>
      <c r="X51" s="17"/>
      <c r="Y51" s="17"/>
      <c r="Z51" s="17"/>
      <c r="AA51" s="17">
        <v>0</v>
      </c>
      <c r="AB51" s="56">
        <v>0</v>
      </c>
      <c r="AC51" s="57">
        <v>0</v>
      </c>
      <c r="AD51" s="57">
        <v>0</v>
      </c>
      <c r="AE51" s="57">
        <v>0</v>
      </c>
      <c r="AF51" s="17">
        <v>0</v>
      </c>
      <c r="AG51" s="17"/>
      <c r="AH51" s="17"/>
      <c r="AI51" s="17"/>
      <c r="AJ51" s="17"/>
      <c r="AK51" s="17"/>
      <c r="AL51" s="17"/>
    </row>
    <row r="52" spans="2:38" ht="13.5">
      <c r="B52" s="18" t="s">
        <v>79</v>
      </c>
      <c r="C52" s="14">
        <v>234</v>
      </c>
      <c r="D52" s="14">
        <v>309</v>
      </c>
      <c r="E52" s="14">
        <v>262</v>
      </c>
      <c r="F52" s="14">
        <v>283</v>
      </c>
      <c r="G52" s="14">
        <v>254</v>
      </c>
      <c r="H52" s="14">
        <v>252</v>
      </c>
      <c r="I52" s="14">
        <v>343</v>
      </c>
      <c r="J52" s="14">
        <v>261</v>
      </c>
      <c r="K52" s="14">
        <v>296</v>
      </c>
      <c r="L52" s="15">
        <v>237</v>
      </c>
      <c r="M52" s="16">
        <v>187</v>
      </c>
      <c r="N52" s="17">
        <v>306</v>
      </c>
      <c r="O52" s="17">
        <v>288</v>
      </c>
      <c r="P52" s="17">
        <v>332</v>
      </c>
      <c r="Q52" s="17">
        <v>463</v>
      </c>
      <c r="R52" s="17">
        <v>421</v>
      </c>
      <c r="S52" s="17">
        <v>274</v>
      </c>
      <c r="T52" s="17">
        <v>227</v>
      </c>
      <c r="U52" s="17">
        <v>250</v>
      </c>
      <c r="V52" s="17">
        <v>210</v>
      </c>
      <c r="W52" s="17">
        <v>236</v>
      </c>
      <c r="X52" s="17">
        <v>171</v>
      </c>
      <c r="Y52" s="17">
        <v>259</v>
      </c>
      <c r="Z52" s="17">
        <v>225</v>
      </c>
      <c r="AA52" s="17">
        <v>189</v>
      </c>
      <c r="AB52" s="56">
        <f>('[1]Siero'!B20)</f>
        <v>97</v>
      </c>
      <c r="AC52" s="57">
        <v>109</v>
      </c>
      <c r="AD52" s="57">
        <v>145</v>
      </c>
      <c r="AE52" s="57">
        <v>248</v>
      </c>
      <c r="AF52" s="17">
        <v>222</v>
      </c>
      <c r="AG52" s="17">
        <v>270</v>
      </c>
      <c r="AH52" s="17">
        <f>52+86+114+21</f>
        <v>273</v>
      </c>
      <c r="AI52" s="17">
        <f>71+52</f>
        <v>123</v>
      </c>
      <c r="AJ52" s="17">
        <f>48+13+52</f>
        <v>113</v>
      </c>
      <c r="AK52" s="17">
        <f>52+143+87+32</f>
        <v>314</v>
      </c>
      <c r="AL52" s="17">
        <f>215+97+64+36</f>
        <v>412</v>
      </c>
    </row>
    <row r="53" spans="2:38" ht="13.5">
      <c r="B53" s="18" t="s">
        <v>80</v>
      </c>
      <c r="C53" s="14">
        <v>12</v>
      </c>
      <c r="D53" s="14">
        <v>7</v>
      </c>
      <c r="E53" s="14"/>
      <c r="F53" s="14"/>
      <c r="G53" s="14"/>
      <c r="H53" s="14"/>
      <c r="I53" s="14"/>
      <c r="J53" s="14"/>
      <c r="K53" s="14"/>
      <c r="L53" s="15"/>
      <c r="M53" s="16"/>
      <c r="N53" s="17">
        <v>13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56">
        <f>('[1]Oriente'!B24)</f>
        <v>0</v>
      </c>
      <c r="AC53" s="57">
        <v>0</v>
      </c>
      <c r="AD53" s="57">
        <v>0</v>
      </c>
      <c r="AE53" s="57">
        <v>0</v>
      </c>
      <c r="AF53" s="17">
        <v>0</v>
      </c>
      <c r="AG53" s="17"/>
      <c r="AH53" s="17"/>
      <c r="AI53" s="17"/>
      <c r="AJ53" s="17"/>
      <c r="AK53" s="17"/>
      <c r="AL53" s="17"/>
    </row>
    <row r="54" spans="2:38" ht="13.5">
      <c r="B54" s="18" t="s">
        <v>81</v>
      </c>
      <c r="C54" s="14">
        <v>34</v>
      </c>
      <c r="D54" s="14">
        <v>125</v>
      </c>
      <c r="E54" s="14">
        <v>111</v>
      </c>
      <c r="F54" s="14">
        <v>129</v>
      </c>
      <c r="G54" s="14">
        <v>162</v>
      </c>
      <c r="H54" s="14">
        <v>126</v>
      </c>
      <c r="I54" s="14">
        <v>187</v>
      </c>
      <c r="J54" s="14">
        <v>276</v>
      </c>
      <c r="K54" s="14">
        <v>217</v>
      </c>
      <c r="L54" s="15">
        <v>264</v>
      </c>
      <c r="M54" s="16">
        <v>322</v>
      </c>
      <c r="N54" s="17">
        <v>342</v>
      </c>
      <c r="O54" s="17">
        <v>197</v>
      </c>
      <c r="P54" s="17">
        <v>180</v>
      </c>
      <c r="Q54" s="17">
        <v>147</v>
      </c>
      <c r="R54" s="17">
        <v>141</v>
      </c>
      <c r="S54" s="17">
        <v>111</v>
      </c>
      <c r="T54" s="17">
        <v>99</v>
      </c>
      <c r="U54" s="17">
        <v>99</v>
      </c>
      <c r="V54" s="17">
        <v>139</v>
      </c>
      <c r="W54" s="17">
        <v>119</v>
      </c>
      <c r="X54" s="17">
        <v>87</v>
      </c>
      <c r="Y54" s="17">
        <v>198</v>
      </c>
      <c r="Z54" s="17">
        <v>251</v>
      </c>
      <c r="AA54" s="17">
        <v>211</v>
      </c>
      <c r="AB54" s="56">
        <f>('[1]Aviles'!B24)</f>
        <v>142</v>
      </c>
      <c r="AC54" s="57">
        <v>156</v>
      </c>
      <c r="AD54" s="57">
        <v>197</v>
      </c>
      <c r="AE54" s="57">
        <v>187</v>
      </c>
      <c r="AF54" s="17">
        <v>171</v>
      </c>
      <c r="AG54" s="17">
        <v>178</v>
      </c>
      <c r="AH54" s="17">
        <f>64+29+14</f>
        <v>107</v>
      </c>
      <c r="AI54" s="17">
        <f>26+84</f>
        <v>110</v>
      </c>
      <c r="AJ54" s="17">
        <f>68+104</f>
        <v>172</v>
      </c>
      <c r="AK54" s="17">
        <f>104+39+35+40</f>
        <v>218</v>
      </c>
      <c r="AL54" s="17">
        <f>103+104+33</f>
        <v>240</v>
      </c>
    </row>
    <row r="55" spans="2:38" ht="13.5">
      <c r="B55" s="18" t="s">
        <v>82</v>
      </c>
      <c r="C55" s="14"/>
      <c r="D55" s="14"/>
      <c r="E55" s="14"/>
      <c r="F55" s="14"/>
      <c r="G55" s="14"/>
      <c r="H55" s="14"/>
      <c r="I55" s="14"/>
      <c r="J55" s="14"/>
      <c r="K55" s="14">
        <v>34</v>
      </c>
      <c r="L55" s="15">
        <v>34</v>
      </c>
      <c r="M55" s="16">
        <v>32</v>
      </c>
      <c r="N55" s="17">
        <v>56</v>
      </c>
      <c r="O55" s="17">
        <v>56</v>
      </c>
      <c r="P55" s="17">
        <v>52</v>
      </c>
      <c r="Q55" s="17">
        <v>28</v>
      </c>
      <c r="R55" s="17">
        <v>40</v>
      </c>
      <c r="S55" s="17">
        <v>41</v>
      </c>
      <c r="T55" s="17">
        <v>42</v>
      </c>
      <c r="U55" s="17">
        <v>51</v>
      </c>
      <c r="V55" s="17">
        <v>24</v>
      </c>
      <c r="W55" s="17">
        <v>25</v>
      </c>
      <c r="X55" s="17">
        <v>21</v>
      </c>
      <c r="Y55" s="17">
        <v>24</v>
      </c>
      <c r="Z55" s="17">
        <v>22</v>
      </c>
      <c r="AA55" s="17">
        <v>25</v>
      </c>
      <c r="AB55" s="56">
        <f>('[1]Grado'!B18)</f>
        <v>25</v>
      </c>
      <c r="AC55" s="57">
        <v>48</v>
      </c>
      <c r="AD55" s="57">
        <v>37</v>
      </c>
      <c r="AE55" s="57">
        <v>37</v>
      </c>
      <c r="AF55" s="17">
        <v>26</v>
      </c>
      <c r="AG55" s="17">
        <f>14+14</f>
        <v>28</v>
      </c>
      <c r="AH55" s="17">
        <f>16+10</f>
        <v>26</v>
      </c>
      <c r="AI55" s="17">
        <v>16</v>
      </c>
      <c r="AJ55" s="17"/>
      <c r="AK55" s="17">
        <v>11</v>
      </c>
      <c r="AL55" s="17">
        <v>16</v>
      </c>
    </row>
    <row r="56" spans="2:38" ht="13.5">
      <c r="B56" s="18" t="s">
        <v>83</v>
      </c>
      <c r="C56" s="14">
        <v>53</v>
      </c>
      <c r="D56" s="14">
        <v>66</v>
      </c>
      <c r="E56" s="14"/>
      <c r="F56" s="20" t="s">
        <v>39</v>
      </c>
      <c r="G56" s="14"/>
      <c r="H56" s="14"/>
      <c r="I56" s="14"/>
      <c r="J56" s="14">
        <v>21</v>
      </c>
      <c r="K56" s="14">
        <v>17</v>
      </c>
      <c r="L56" s="15">
        <v>27</v>
      </c>
      <c r="M56" s="16">
        <v>26</v>
      </c>
      <c r="N56" s="17">
        <v>20</v>
      </c>
      <c r="O56" s="17">
        <v>179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56">
        <f>('[1]Grado'!B19)</f>
        <v>4</v>
      </c>
      <c r="AC56" s="57">
        <v>64</v>
      </c>
      <c r="AD56" s="57">
        <v>39</v>
      </c>
      <c r="AE56" s="57">
        <v>38</v>
      </c>
      <c r="AF56" s="17">
        <v>37</v>
      </c>
      <c r="AG56" s="17">
        <f>19+25</f>
        <v>44</v>
      </c>
      <c r="AH56" s="17">
        <f>28+22</f>
        <v>50</v>
      </c>
      <c r="AI56" s="17">
        <v>23</v>
      </c>
      <c r="AJ56" s="17"/>
      <c r="AK56" s="17">
        <v>18</v>
      </c>
      <c r="AL56" s="17">
        <v>12</v>
      </c>
    </row>
    <row r="57" spans="2:38" ht="13.5">
      <c r="B57" s="18" t="s">
        <v>84</v>
      </c>
      <c r="C57" s="14">
        <v>137</v>
      </c>
      <c r="D57" s="14">
        <v>91</v>
      </c>
      <c r="E57" s="14">
        <v>120</v>
      </c>
      <c r="F57" s="14">
        <v>105</v>
      </c>
      <c r="G57" s="14">
        <v>104</v>
      </c>
      <c r="H57" s="14">
        <v>100</v>
      </c>
      <c r="I57" s="14">
        <v>115</v>
      </c>
      <c r="J57" s="14">
        <v>129</v>
      </c>
      <c r="K57" s="14">
        <v>133</v>
      </c>
      <c r="L57" s="15">
        <v>77</v>
      </c>
      <c r="M57" s="16">
        <v>127</v>
      </c>
      <c r="N57" s="17">
        <v>56</v>
      </c>
      <c r="O57" s="17">
        <v>0</v>
      </c>
      <c r="P57" s="17">
        <v>0</v>
      </c>
      <c r="Q57" s="17">
        <v>0</v>
      </c>
      <c r="R57" s="17">
        <v>93</v>
      </c>
      <c r="S57" s="17">
        <v>120</v>
      </c>
      <c r="T57" s="17">
        <v>40</v>
      </c>
      <c r="U57" s="17">
        <v>40</v>
      </c>
      <c r="V57" s="17">
        <v>35</v>
      </c>
      <c r="W57" s="17">
        <v>27</v>
      </c>
      <c r="X57" s="17">
        <v>27</v>
      </c>
      <c r="Y57" s="17">
        <v>18</v>
      </c>
      <c r="Z57" s="17">
        <v>0</v>
      </c>
      <c r="AA57" s="17">
        <v>0</v>
      </c>
      <c r="AB57" s="56">
        <f>('[1]Oriente'!B25)</f>
        <v>10</v>
      </c>
      <c r="AC57" s="57">
        <v>59</v>
      </c>
      <c r="AD57" s="57">
        <v>4</v>
      </c>
      <c r="AE57" s="57">
        <v>51</v>
      </c>
      <c r="AF57" s="17">
        <v>50</v>
      </c>
      <c r="AG57" s="17">
        <v>145</v>
      </c>
      <c r="AH57" s="17">
        <f>43+60+83+13</f>
        <v>199</v>
      </c>
      <c r="AI57" s="17">
        <f>86+17+96</f>
        <v>199</v>
      </c>
      <c r="AJ57" s="17"/>
      <c r="AK57" s="17"/>
      <c r="AL57" s="17">
        <f>42+61</f>
        <v>103</v>
      </c>
    </row>
    <row r="58" spans="2:38" ht="13.5">
      <c r="B58" s="18" t="s">
        <v>85</v>
      </c>
      <c r="C58" s="14">
        <v>369</v>
      </c>
      <c r="D58" s="14">
        <v>295</v>
      </c>
      <c r="E58" s="14">
        <v>118</v>
      </c>
      <c r="F58" s="14">
        <v>217</v>
      </c>
      <c r="G58" s="14">
        <v>199</v>
      </c>
      <c r="H58" s="14">
        <v>277</v>
      </c>
      <c r="I58" s="14">
        <v>278</v>
      </c>
      <c r="J58" s="14">
        <v>280</v>
      </c>
      <c r="K58" s="14">
        <v>203</v>
      </c>
      <c r="L58" s="15">
        <v>253</v>
      </c>
      <c r="M58" s="16">
        <v>279</v>
      </c>
      <c r="N58" s="17">
        <v>198</v>
      </c>
      <c r="O58" s="17">
        <v>191</v>
      </c>
      <c r="P58" s="17">
        <v>292</v>
      </c>
      <c r="Q58" s="17">
        <v>312</v>
      </c>
      <c r="R58" s="17">
        <v>216</v>
      </c>
      <c r="S58" s="17">
        <v>242</v>
      </c>
      <c r="T58" s="17">
        <v>227</v>
      </c>
      <c r="U58" s="17">
        <v>284</v>
      </c>
      <c r="V58" s="17">
        <v>341</v>
      </c>
      <c r="W58" s="17">
        <v>234</v>
      </c>
      <c r="X58" s="17">
        <v>300</v>
      </c>
      <c r="Y58" s="17">
        <v>459</v>
      </c>
      <c r="Z58" s="17">
        <v>413</v>
      </c>
      <c r="AA58" s="17">
        <v>388</v>
      </c>
      <c r="AB58" s="56">
        <f>('[1]Oriente'!B26)</f>
        <v>329</v>
      </c>
      <c r="AC58" s="57">
        <v>375</v>
      </c>
      <c r="AD58" s="57">
        <v>405</v>
      </c>
      <c r="AE58" s="57">
        <v>386</v>
      </c>
      <c r="AF58" s="17">
        <v>406</v>
      </c>
      <c r="AG58" s="17">
        <f>417+26</f>
        <v>443</v>
      </c>
      <c r="AH58" s="17">
        <f>52+163+157+26+82+10</f>
        <v>490</v>
      </c>
      <c r="AI58" s="17">
        <f>266+52+12+146</f>
        <v>476</v>
      </c>
      <c r="AJ58" s="17">
        <f>95+6+12</f>
        <v>113</v>
      </c>
      <c r="AK58" s="17">
        <f>32+141+70+6+18</f>
        <v>267</v>
      </c>
      <c r="AL58" s="17">
        <f>138+102+64+147+14</f>
        <v>465</v>
      </c>
    </row>
    <row r="59" spans="2:38" ht="13.5">
      <c r="B59" s="18" t="s">
        <v>86</v>
      </c>
      <c r="C59" s="14"/>
      <c r="D59" s="14">
        <v>61</v>
      </c>
      <c r="E59" s="14">
        <v>41</v>
      </c>
      <c r="F59" s="14">
        <v>26</v>
      </c>
      <c r="G59" s="14"/>
      <c r="H59" s="14">
        <v>20</v>
      </c>
      <c r="I59" s="14">
        <v>30</v>
      </c>
      <c r="J59" s="14"/>
      <c r="K59" s="14">
        <v>38</v>
      </c>
      <c r="L59" s="15"/>
      <c r="M59" s="16"/>
      <c r="N59" s="17">
        <v>14</v>
      </c>
      <c r="O59" s="17">
        <v>13</v>
      </c>
      <c r="P59" s="17">
        <v>0</v>
      </c>
      <c r="Q59" s="17">
        <v>20</v>
      </c>
      <c r="R59" s="17">
        <v>15</v>
      </c>
      <c r="S59" s="17">
        <v>18</v>
      </c>
      <c r="T59" s="17">
        <v>34</v>
      </c>
      <c r="U59" s="17">
        <v>0</v>
      </c>
      <c r="V59" s="17">
        <v>1</v>
      </c>
      <c r="W59" s="17">
        <v>1</v>
      </c>
      <c r="X59" s="17">
        <v>21</v>
      </c>
      <c r="Y59" s="17">
        <v>1</v>
      </c>
      <c r="Z59" s="17">
        <v>1</v>
      </c>
      <c r="AA59" s="17">
        <v>1</v>
      </c>
      <c r="AB59" s="56">
        <f>('[1]Oviedo'!B15)</f>
        <v>0</v>
      </c>
      <c r="AC59" s="57">
        <v>0</v>
      </c>
      <c r="AD59" s="57">
        <v>0</v>
      </c>
      <c r="AE59" s="57">
        <v>6</v>
      </c>
      <c r="AF59" s="17">
        <v>0</v>
      </c>
      <c r="AG59" s="17"/>
      <c r="AH59" s="17">
        <f>4+3</f>
        <v>7</v>
      </c>
      <c r="AI59" s="17"/>
      <c r="AJ59" s="17"/>
      <c r="AK59" s="17"/>
      <c r="AL59" s="17"/>
    </row>
    <row r="60" spans="2:38" ht="13.5">
      <c r="B60" s="18" t="s">
        <v>87</v>
      </c>
      <c r="C60" s="14"/>
      <c r="D60" s="14"/>
      <c r="E60" s="14">
        <v>27</v>
      </c>
      <c r="F60" s="14">
        <v>117</v>
      </c>
      <c r="G60" s="14">
        <v>60</v>
      </c>
      <c r="H60" s="14">
        <v>20</v>
      </c>
      <c r="I60" s="14">
        <v>52</v>
      </c>
      <c r="J60" s="14">
        <v>69</v>
      </c>
      <c r="K60" s="14">
        <v>73</v>
      </c>
      <c r="L60" s="15">
        <v>43</v>
      </c>
      <c r="M60" s="16">
        <v>40</v>
      </c>
      <c r="N60" s="17">
        <v>40</v>
      </c>
      <c r="O60" s="17">
        <v>40</v>
      </c>
      <c r="P60" s="17">
        <v>35</v>
      </c>
      <c r="Q60" s="17">
        <v>34</v>
      </c>
      <c r="R60" s="17">
        <v>0</v>
      </c>
      <c r="S60" s="17">
        <v>0</v>
      </c>
      <c r="T60" s="17">
        <v>13</v>
      </c>
      <c r="U60" s="17">
        <v>16</v>
      </c>
      <c r="V60" s="17">
        <v>37</v>
      </c>
      <c r="W60" s="17">
        <v>65</v>
      </c>
      <c r="X60" s="17">
        <v>45</v>
      </c>
      <c r="Y60" s="17">
        <v>57</v>
      </c>
      <c r="Z60" s="17">
        <v>37</v>
      </c>
      <c r="AA60" s="17">
        <v>37</v>
      </c>
      <c r="AB60" s="56">
        <f>('[1]Oviedo'!B16)</f>
        <v>37</v>
      </c>
      <c r="AC60" s="57">
        <v>32</v>
      </c>
      <c r="AD60" s="57">
        <v>33</v>
      </c>
      <c r="AE60" s="57">
        <v>0</v>
      </c>
      <c r="AF60" s="17">
        <v>0</v>
      </c>
      <c r="AG60" s="17"/>
      <c r="AH60" s="17"/>
      <c r="AI60" s="17"/>
      <c r="AJ60" s="17"/>
      <c r="AK60" s="17"/>
      <c r="AL60" s="17"/>
    </row>
    <row r="61" spans="2:38" ht="13.5">
      <c r="B61" s="18" t="s">
        <v>88</v>
      </c>
      <c r="C61" s="14">
        <v>131</v>
      </c>
      <c r="D61" s="14">
        <v>209</v>
      </c>
      <c r="E61" s="14">
        <v>143</v>
      </c>
      <c r="F61" s="14">
        <v>177</v>
      </c>
      <c r="G61" s="14">
        <v>151</v>
      </c>
      <c r="H61" s="14">
        <v>144</v>
      </c>
      <c r="I61" s="14">
        <v>208</v>
      </c>
      <c r="J61" s="14">
        <v>251</v>
      </c>
      <c r="K61" s="14">
        <v>270</v>
      </c>
      <c r="L61" s="15">
        <v>287</v>
      </c>
      <c r="M61" s="16">
        <v>238</v>
      </c>
      <c r="N61" s="17">
        <v>209</v>
      </c>
      <c r="O61" s="17">
        <v>85</v>
      </c>
      <c r="P61" s="17">
        <v>229</v>
      </c>
      <c r="Q61" s="17">
        <v>367</v>
      </c>
      <c r="R61" s="17">
        <v>205</v>
      </c>
      <c r="S61" s="17">
        <v>200</v>
      </c>
      <c r="T61" s="17">
        <v>202</v>
      </c>
      <c r="U61" s="17">
        <v>167</v>
      </c>
      <c r="V61" s="17">
        <v>158</v>
      </c>
      <c r="W61" s="17">
        <v>171</v>
      </c>
      <c r="X61" s="17">
        <v>197</v>
      </c>
      <c r="Y61" s="17">
        <v>202</v>
      </c>
      <c r="Z61" s="17">
        <v>193</v>
      </c>
      <c r="AA61" s="17">
        <v>189</v>
      </c>
      <c r="AB61" s="56">
        <f>('[1]Grado'!B20)</f>
        <v>204</v>
      </c>
      <c r="AC61" s="57">
        <v>324</v>
      </c>
      <c r="AD61" s="57">
        <v>246</v>
      </c>
      <c r="AE61" s="57">
        <v>349</v>
      </c>
      <c r="AF61" s="17">
        <v>265</v>
      </c>
      <c r="AG61" s="17">
        <v>267</v>
      </c>
      <c r="AH61" s="17">
        <f>32+2+29+180+12</f>
        <v>255</v>
      </c>
      <c r="AI61" s="17">
        <f>2+52+167</f>
        <v>221</v>
      </c>
      <c r="AJ61" s="17"/>
      <c r="AK61" s="17">
        <f>40+1+63</f>
        <v>104</v>
      </c>
      <c r="AL61" s="17">
        <f>52+142</f>
        <v>194</v>
      </c>
    </row>
    <row r="62" spans="2:38" ht="14.25" customHeight="1">
      <c r="B62" s="18" t="s">
        <v>89</v>
      </c>
      <c r="C62" s="14"/>
      <c r="D62" s="14">
        <v>93</v>
      </c>
      <c r="E62" s="14">
        <v>16</v>
      </c>
      <c r="F62" s="14"/>
      <c r="G62" s="14"/>
      <c r="H62" s="14"/>
      <c r="I62" s="14"/>
      <c r="J62" s="14">
        <v>9</v>
      </c>
      <c r="K62" s="14"/>
      <c r="L62" s="21">
        <v>0</v>
      </c>
      <c r="M62" s="16"/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7</v>
      </c>
      <c r="AB62" s="56">
        <f>('[1]Oscos Eo'!B20)</f>
        <v>6</v>
      </c>
      <c r="AC62" s="57">
        <v>0</v>
      </c>
      <c r="AD62" s="57">
        <v>0</v>
      </c>
      <c r="AE62" s="57">
        <v>0</v>
      </c>
      <c r="AF62" s="17">
        <v>0</v>
      </c>
      <c r="AG62" s="17"/>
      <c r="AH62" s="17"/>
      <c r="AI62" s="17"/>
      <c r="AJ62" s="17"/>
      <c r="AK62" s="17"/>
      <c r="AL62" s="17"/>
    </row>
    <row r="63" spans="2:38" ht="13.5">
      <c r="B63" s="18" t="s">
        <v>90</v>
      </c>
      <c r="C63" s="14">
        <v>504</v>
      </c>
      <c r="D63" s="14">
        <v>150</v>
      </c>
      <c r="E63" s="14">
        <v>658</v>
      </c>
      <c r="F63" s="14">
        <v>777</v>
      </c>
      <c r="G63" s="14">
        <v>977</v>
      </c>
      <c r="H63" s="14">
        <v>998</v>
      </c>
      <c r="I63" s="14">
        <v>858</v>
      </c>
      <c r="J63" s="14">
        <v>1234</v>
      </c>
      <c r="K63" s="14">
        <v>887</v>
      </c>
      <c r="L63" s="15">
        <v>767</v>
      </c>
      <c r="M63" s="19">
        <v>1119</v>
      </c>
      <c r="N63" s="17">
        <v>1325</v>
      </c>
      <c r="O63" s="17">
        <v>1462</v>
      </c>
      <c r="P63" s="17">
        <v>888</v>
      </c>
      <c r="Q63" s="17">
        <v>782</v>
      </c>
      <c r="R63" s="17">
        <v>564</v>
      </c>
      <c r="S63" s="17">
        <v>452</v>
      </c>
      <c r="T63" s="17">
        <v>426</v>
      </c>
      <c r="U63" s="17">
        <v>531</v>
      </c>
      <c r="V63" s="17">
        <v>369</v>
      </c>
      <c r="W63" s="17">
        <v>383</v>
      </c>
      <c r="X63" s="17">
        <v>408</v>
      </c>
      <c r="Y63" s="17">
        <v>379</v>
      </c>
      <c r="Z63" s="17">
        <v>332</v>
      </c>
      <c r="AA63" s="17">
        <v>373</v>
      </c>
      <c r="AB63" s="56">
        <f>('[1]Nalon'!B13)</f>
        <v>362</v>
      </c>
      <c r="AC63" s="57">
        <v>195</v>
      </c>
      <c r="AD63" s="57">
        <v>285</v>
      </c>
      <c r="AE63" s="57">
        <v>365</v>
      </c>
      <c r="AF63" s="17">
        <v>440</v>
      </c>
      <c r="AG63" s="17">
        <v>443</v>
      </c>
      <c r="AH63" s="17">
        <f>104+123+144</f>
        <v>371</v>
      </c>
      <c r="AI63" s="17">
        <f>333+136</f>
        <v>469</v>
      </c>
      <c r="AJ63" s="17">
        <f>18+116</f>
        <v>134</v>
      </c>
      <c r="AK63" s="17">
        <f>96+174+199</f>
        <v>469</v>
      </c>
      <c r="AL63" s="17">
        <f>213+263+84</f>
        <v>560</v>
      </c>
    </row>
    <row r="64" spans="2:38" ht="13.5">
      <c r="B64" s="18" t="s">
        <v>91</v>
      </c>
      <c r="C64" s="14">
        <v>8</v>
      </c>
      <c r="D64" s="14">
        <v>10</v>
      </c>
      <c r="E64" s="14">
        <v>6</v>
      </c>
      <c r="F64" s="14"/>
      <c r="G64" s="14"/>
      <c r="H64" s="14"/>
      <c r="I64" s="14"/>
      <c r="J64" s="14"/>
      <c r="K64" s="14"/>
      <c r="L64" s="15"/>
      <c r="M64" s="16"/>
      <c r="N64" s="17">
        <v>0</v>
      </c>
      <c r="O64" s="17">
        <v>20</v>
      </c>
      <c r="P64" s="17">
        <v>10</v>
      </c>
      <c r="Q64" s="17">
        <v>16</v>
      </c>
      <c r="R64" s="17">
        <v>46</v>
      </c>
      <c r="S64" s="17">
        <v>32</v>
      </c>
      <c r="T64" s="17">
        <v>23</v>
      </c>
      <c r="U64" s="17">
        <v>0</v>
      </c>
      <c r="V64" s="17">
        <v>0</v>
      </c>
      <c r="W64" s="17">
        <v>0</v>
      </c>
      <c r="X64" s="17">
        <v>0</v>
      </c>
      <c r="Y64" s="17">
        <v>1</v>
      </c>
      <c r="Z64" s="17">
        <v>0</v>
      </c>
      <c r="AA64" s="17">
        <v>0</v>
      </c>
      <c r="AB64" s="56">
        <f>'[1]Oscos Eo'!B21</f>
        <v>0</v>
      </c>
      <c r="AC64" s="57">
        <v>0</v>
      </c>
      <c r="AD64" s="57">
        <v>0</v>
      </c>
      <c r="AE64" s="57">
        <v>0</v>
      </c>
      <c r="AF64" s="17">
        <v>0</v>
      </c>
      <c r="AG64" s="17"/>
      <c r="AH64" s="17"/>
      <c r="AI64" s="17"/>
      <c r="AJ64" s="17"/>
      <c r="AK64" s="17"/>
      <c r="AL64" s="17"/>
    </row>
    <row r="65" spans="2:38" ht="13.5">
      <c r="B65" s="18" t="s">
        <v>92</v>
      </c>
      <c r="C65" s="14"/>
      <c r="D65" s="14"/>
      <c r="E65" s="14">
        <v>56</v>
      </c>
      <c r="F65" s="14">
        <v>45</v>
      </c>
      <c r="G65" s="14"/>
      <c r="H65" s="14">
        <v>32</v>
      </c>
      <c r="I65" s="14">
        <v>12</v>
      </c>
      <c r="J65" s="14">
        <v>12</v>
      </c>
      <c r="K65" s="14"/>
      <c r="L65" s="15">
        <v>71</v>
      </c>
      <c r="M65" s="16"/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56">
        <f>'[1]Oscos Eo'!B22</f>
        <v>0</v>
      </c>
      <c r="AC65" s="57">
        <v>0</v>
      </c>
      <c r="AD65" s="57">
        <v>0</v>
      </c>
      <c r="AE65" s="57">
        <v>0</v>
      </c>
      <c r="AF65" s="17">
        <v>29</v>
      </c>
      <c r="AG65" s="17">
        <v>36</v>
      </c>
      <c r="AH65" s="17">
        <f>11+15</f>
        <v>26</v>
      </c>
      <c r="AI65" s="17">
        <f>26+26</f>
        <v>52</v>
      </c>
      <c r="AJ65" s="17"/>
      <c r="AK65" s="17">
        <f>19+16</f>
        <v>35</v>
      </c>
      <c r="AL65" s="17">
        <v>31</v>
      </c>
    </row>
    <row r="66" spans="2:38" ht="13.5">
      <c r="B66" s="18" t="s">
        <v>93</v>
      </c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9"/>
      <c r="N66" s="22">
        <v>0</v>
      </c>
      <c r="O66" s="22">
        <v>35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57">
        <f>('[1]Grado'!B21)</f>
        <v>0</v>
      </c>
      <c r="AC66" s="57">
        <v>0</v>
      </c>
      <c r="AD66" s="57">
        <v>0</v>
      </c>
      <c r="AE66" s="57">
        <v>0</v>
      </c>
      <c r="AF66" s="17">
        <v>0</v>
      </c>
      <c r="AG66" s="17"/>
      <c r="AH66" s="17"/>
      <c r="AI66" s="17"/>
      <c r="AJ66" s="17"/>
      <c r="AK66" s="17"/>
      <c r="AL66" s="17"/>
    </row>
    <row r="67" spans="2:38" ht="13.5">
      <c r="B67" s="18" t="s">
        <v>94</v>
      </c>
      <c r="C67" s="14">
        <v>108</v>
      </c>
      <c r="D67" s="14">
        <v>107</v>
      </c>
      <c r="E67" s="14">
        <v>92</v>
      </c>
      <c r="F67" s="14">
        <v>79</v>
      </c>
      <c r="G67" s="14">
        <v>24</v>
      </c>
      <c r="H67" s="14">
        <v>71</v>
      </c>
      <c r="I67" s="14">
        <v>56</v>
      </c>
      <c r="J67" s="14">
        <v>85</v>
      </c>
      <c r="K67" s="14">
        <v>54</v>
      </c>
      <c r="L67" s="15">
        <v>77</v>
      </c>
      <c r="M67" s="19">
        <v>66</v>
      </c>
      <c r="N67" s="22">
        <v>108</v>
      </c>
      <c r="O67" s="22">
        <v>82</v>
      </c>
      <c r="P67" s="22">
        <v>92</v>
      </c>
      <c r="Q67" s="22">
        <v>161</v>
      </c>
      <c r="R67" s="22">
        <v>45</v>
      </c>
      <c r="S67" s="22">
        <v>40</v>
      </c>
      <c r="T67" s="22">
        <v>40</v>
      </c>
      <c r="U67" s="22">
        <v>40</v>
      </c>
      <c r="V67" s="22">
        <v>20</v>
      </c>
      <c r="W67" s="22">
        <v>20</v>
      </c>
      <c r="X67" s="22">
        <v>0</v>
      </c>
      <c r="Y67" s="22">
        <v>13</v>
      </c>
      <c r="Z67" s="22">
        <v>1</v>
      </c>
      <c r="AA67" s="22">
        <v>0</v>
      </c>
      <c r="AB67" s="57">
        <f>('[1]Siero'!B21)</f>
        <v>0</v>
      </c>
      <c r="AC67" s="57">
        <v>4</v>
      </c>
      <c r="AD67" s="57">
        <v>2</v>
      </c>
      <c r="AE67" s="57">
        <v>1</v>
      </c>
      <c r="AF67" s="17">
        <v>2</v>
      </c>
      <c r="AG67" s="17"/>
      <c r="AH67" s="17"/>
      <c r="AI67" s="17"/>
      <c r="AJ67" s="17"/>
      <c r="AK67" s="17"/>
      <c r="AL67" s="17"/>
    </row>
    <row r="68" spans="2:38" ht="13.5">
      <c r="B68" s="18" t="s">
        <v>95</v>
      </c>
      <c r="C68" s="14">
        <v>949</v>
      </c>
      <c r="D68" s="14">
        <v>1194</v>
      </c>
      <c r="E68" s="14">
        <v>1311</v>
      </c>
      <c r="F68" s="14">
        <v>1624</v>
      </c>
      <c r="G68" s="14">
        <v>1337</v>
      </c>
      <c r="H68" s="14">
        <v>1142</v>
      </c>
      <c r="I68" s="14">
        <v>1003</v>
      </c>
      <c r="J68" s="14">
        <v>1280</v>
      </c>
      <c r="K68" s="14">
        <v>1423</v>
      </c>
      <c r="L68" s="15">
        <v>1649</v>
      </c>
      <c r="M68" s="19">
        <v>1314</v>
      </c>
      <c r="N68" s="22">
        <v>1685</v>
      </c>
      <c r="O68" s="22">
        <v>1540</v>
      </c>
      <c r="P68" s="22">
        <v>1742</v>
      </c>
      <c r="Q68" s="22">
        <v>1643</v>
      </c>
      <c r="R68" s="22">
        <v>1678</v>
      </c>
      <c r="S68" s="22">
        <v>1509</v>
      </c>
      <c r="T68" s="22">
        <v>1649</v>
      </c>
      <c r="U68" s="22">
        <v>1640</v>
      </c>
      <c r="V68" s="22">
        <v>1593</v>
      </c>
      <c r="W68" s="22">
        <v>1631</v>
      </c>
      <c r="X68" s="22">
        <v>1850</v>
      </c>
      <c r="Y68" s="22">
        <v>1882</v>
      </c>
      <c r="Z68" s="22">
        <v>1737</v>
      </c>
      <c r="AA68" s="22">
        <v>1818</v>
      </c>
      <c r="AB68" s="57">
        <f>('[1]Siero'!B22)</f>
        <v>1791</v>
      </c>
      <c r="AC68" s="57">
        <v>2075</v>
      </c>
      <c r="AD68" s="57">
        <v>1962</v>
      </c>
      <c r="AE68" s="57">
        <v>2790</v>
      </c>
      <c r="AF68" s="17">
        <v>2522</v>
      </c>
      <c r="AG68" s="17">
        <v>2835</v>
      </c>
      <c r="AH68" s="17">
        <f>508+979+1075+15</f>
        <v>2577</v>
      </c>
      <c r="AI68" s="17">
        <f>1449+528</f>
        <v>1977</v>
      </c>
      <c r="AJ68" s="17">
        <f>573+548</f>
        <v>1121</v>
      </c>
      <c r="AK68" s="17">
        <f>544+651+832+56+10</f>
        <v>2093</v>
      </c>
      <c r="AL68" s="17">
        <f>843+998+460+92+24</f>
        <v>2417</v>
      </c>
    </row>
    <row r="69" spans="2:38" ht="13.5">
      <c r="B69" s="18" t="s">
        <v>96</v>
      </c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9"/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57">
        <f>('[1]Nalon'!B14)</f>
        <v>0</v>
      </c>
      <c r="AC69" s="57">
        <v>0</v>
      </c>
      <c r="AD69" s="57">
        <v>0</v>
      </c>
      <c r="AE69" s="57">
        <v>0</v>
      </c>
      <c r="AF69" s="17">
        <v>0</v>
      </c>
      <c r="AG69" s="17"/>
      <c r="AH69" s="17"/>
      <c r="AI69" s="17"/>
      <c r="AJ69" s="17"/>
      <c r="AK69" s="17"/>
      <c r="AL69" s="17"/>
    </row>
    <row r="70" spans="2:38" ht="13.5">
      <c r="B70" s="18" t="s">
        <v>97</v>
      </c>
      <c r="C70" s="14">
        <v>50</v>
      </c>
      <c r="D70" s="14">
        <v>59</v>
      </c>
      <c r="E70" s="14">
        <v>58</v>
      </c>
      <c r="F70" s="14">
        <v>27</v>
      </c>
      <c r="G70" s="14">
        <v>18</v>
      </c>
      <c r="H70" s="14">
        <v>33</v>
      </c>
      <c r="I70" s="14">
        <v>25</v>
      </c>
      <c r="J70" s="14">
        <v>23</v>
      </c>
      <c r="K70" s="14">
        <v>17</v>
      </c>
      <c r="L70" s="15">
        <v>30</v>
      </c>
      <c r="M70" s="19">
        <v>18</v>
      </c>
      <c r="N70" s="22">
        <v>36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24</v>
      </c>
      <c r="U70" s="22">
        <v>21</v>
      </c>
      <c r="V70" s="22">
        <v>31</v>
      </c>
      <c r="W70" s="22">
        <v>30</v>
      </c>
      <c r="X70" s="22">
        <v>25</v>
      </c>
      <c r="Y70" s="22">
        <v>26</v>
      </c>
      <c r="Z70" s="22">
        <v>53</v>
      </c>
      <c r="AA70" s="22">
        <v>40</v>
      </c>
      <c r="AB70" s="57">
        <f>('[1]Grado'!B22)</f>
        <v>39</v>
      </c>
      <c r="AC70" s="57">
        <v>88</v>
      </c>
      <c r="AD70" s="57">
        <v>59</v>
      </c>
      <c r="AE70" s="57">
        <v>69</v>
      </c>
      <c r="AF70" s="17">
        <v>45</v>
      </c>
      <c r="AG70" s="17">
        <v>32</v>
      </c>
      <c r="AH70" s="17">
        <f>32+16</f>
        <v>48</v>
      </c>
      <c r="AI70" s="17">
        <f>10+28</f>
        <v>38</v>
      </c>
      <c r="AJ70" s="17"/>
      <c r="AK70" s="17">
        <v>34</v>
      </c>
      <c r="AL70" s="17">
        <f>10+29</f>
        <v>39</v>
      </c>
    </row>
    <row r="71" spans="2:38" ht="13.5">
      <c r="B71" s="18" t="s">
        <v>98</v>
      </c>
      <c r="C71" s="14">
        <v>82</v>
      </c>
      <c r="D71" s="14">
        <v>100</v>
      </c>
      <c r="E71" s="14">
        <v>98</v>
      </c>
      <c r="F71" s="14">
        <v>19</v>
      </c>
      <c r="G71" s="14">
        <v>17</v>
      </c>
      <c r="H71" s="14">
        <v>17</v>
      </c>
      <c r="I71" s="14">
        <v>31</v>
      </c>
      <c r="J71" s="14">
        <v>87</v>
      </c>
      <c r="K71" s="14">
        <v>118</v>
      </c>
      <c r="L71" s="15">
        <v>105</v>
      </c>
      <c r="M71" s="19">
        <v>96</v>
      </c>
      <c r="N71" s="22">
        <v>68</v>
      </c>
      <c r="O71" s="22">
        <v>67</v>
      </c>
      <c r="P71" s="22">
        <v>20</v>
      </c>
      <c r="Q71" s="22">
        <v>109</v>
      </c>
      <c r="R71" s="22">
        <v>72</v>
      </c>
      <c r="S71" s="22">
        <v>72</v>
      </c>
      <c r="T71" s="22">
        <v>60</v>
      </c>
      <c r="U71" s="22">
        <v>40</v>
      </c>
      <c r="V71" s="22">
        <v>66</v>
      </c>
      <c r="W71" s="22">
        <v>61</v>
      </c>
      <c r="X71" s="22">
        <v>60</v>
      </c>
      <c r="Y71" s="22">
        <v>52</v>
      </c>
      <c r="Z71" s="22">
        <v>52</v>
      </c>
      <c r="AA71" s="22">
        <v>52</v>
      </c>
      <c r="AB71" s="57">
        <f>('[1]Aviles'!B25)</f>
        <v>52</v>
      </c>
      <c r="AC71" s="57">
        <v>68</v>
      </c>
      <c r="AD71" s="57">
        <v>52</v>
      </c>
      <c r="AE71" s="57">
        <v>53</v>
      </c>
      <c r="AF71" s="17">
        <v>34</v>
      </c>
      <c r="AG71" s="17">
        <v>15</v>
      </c>
      <c r="AH71" s="17">
        <f>32+3+4</f>
        <v>39</v>
      </c>
      <c r="AI71" s="17">
        <f>1+52</f>
        <v>53</v>
      </c>
      <c r="AJ71" s="17">
        <v>9</v>
      </c>
      <c r="AK71" s="17">
        <f>12+19+10</f>
        <v>41</v>
      </c>
      <c r="AL71" s="17">
        <v>16</v>
      </c>
    </row>
    <row r="72" spans="2:38" ht="14.25" customHeight="1">
      <c r="B72" s="18" t="s">
        <v>99</v>
      </c>
      <c r="C72" s="14">
        <v>187</v>
      </c>
      <c r="D72" s="14">
        <v>310</v>
      </c>
      <c r="E72" s="14">
        <v>190</v>
      </c>
      <c r="F72" s="14">
        <v>260</v>
      </c>
      <c r="G72" s="14">
        <v>226</v>
      </c>
      <c r="H72" s="14">
        <v>46</v>
      </c>
      <c r="I72" s="14">
        <v>48</v>
      </c>
      <c r="J72" s="14">
        <v>64</v>
      </c>
      <c r="K72" s="14">
        <v>65</v>
      </c>
      <c r="L72" s="15">
        <v>105</v>
      </c>
      <c r="M72" s="19">
        <v>83</v>
      </c>
      <c r="N72" s="22">
        <v>112</v>
      </c>
      <c r="O72" s="22">
        <v>51</v>
      </c>
      <c r="P72" s="22">
        <v>57</v>
      </c>
      <c r="Q72" s="22">
        <v>90</v>
      </c>
      <c r="R72" s="22">
        <v>89</v>
      </c>
      <c r="S72" s="22">
        <v>94</v>
      </c>
      <c r="T72" s="22">
        <v>130</v>
      </c>
      <c r="U72" s="22">
        <v>112</v>
      </c>
      <c r="V72" s="22">
        <v>177</v>
      </c>
      <c r="W72" s="22">
        <v>151</v>
      </c>
      <c r="X72" s="22">
        <v>133</v>
      </c>
      <c r="Y72" s="22">
        <v>98</v>
      </c>
      <c r="Z72" s="22">
        <v>101</v>
      </c>
      <c r="AA72" s="22">
        <v>102</v>
      </c>
      <c r="AB72" s="57">
        <f>('[1]Oscos Eo'!B23)</f>
        <v>122</v>
      </c>
      <c r="AC72" s="57">
        <v>111</v>
      </c>
      <c r="AD72" s="57">
        <v>112</v>
      </c>
      <c r="AE72" s="57">
        <v>114</v>
      </c>
      <c r="AF72" s="17">
        <v>133</v>
      </c>
      <c r="AG72" s="17">
        <f>88+32</f>
        <v>120</v>
      </c>
      <c r="AH72" s="17">
        <f>52+15+56+19</f>
        <v>142</v>
      </c>
      <c r="AI72" s="17">
        <f>85+52+19+41</f>
        <v>197</v>
      </c>
      <c r="AJ72" s="17">
        <f>68+20</f>
        <v>88</v>
      </c>
      <c r="AK72" s="17">
        <f>52+52+15</f>
        <v>119</v>
      </c>
      <c r="AL72" s="17">
        <f>54+84+52</f>
        <v>190</v>
      </c>
    </row>
    <row r="73" spans="2:38" ht="13.5">
      <c r="B73" s="18" t="s">
        <v>100</v>
      </c>
      <c r="C73" s="14"/>
      <c r="D73" s="14">
        <v>12</v>
      </c>
      <c r="E73" s="14">
        <v>18</v>
      </c>
      <c r="F73" s="14">
        <v>8</v>
      </c>
      <c r="G73" s="14"/>
      <c r="H73" s="14">
        <v>21</v>
      </c>
      <c r="I73" s="14"/>
      <c r="J73" s="14"/>
      <c r="K73" s="14"/>
      <c r="L73" s="15"/>
      <c r="M73" s="19"/>
      <c r="N73" s="22">
        <v>0</v>
      </c>
      <c r="O73" s="22">
        <v>0</v>
      </c>
      <c r="P73" s="22">
        <v>0</v>
      </c>
      <c r="Q73" s="22">
        <v>31</v>
      </c>
      <c r="R73" s="22">
        <v>0</v>
      </c>
      <c r="S73" s="22">
        <v>5</v>
      </c>
      <c r="T73" s="22">
        <v>17</v>
      </c>
      <c r="U73" s="22">
        <v>0</v>
      </c>
      <c r="V73" s="22">
        <v>8</v>
      </c>
      <c r="W73" s="22">
        <v>14</v>
      </c>
      <c r="X73" s="22">
        <v>14</v>
      </c>
      <c r="Y73" s="22">
        <v>12</v>
      </c>
      <c r="Z73" s="22">
        <v>8</v>
      </c>
      <c r="AA73" s="22">
        <v>31</v>
      </c>
      <c r="AB73" s="57">
        <f>('[1]Oscos Eo'!B24)</f>
        <v>28</v>
      </c>
      <c r="AC73" s="57">
        <v>55</v>
      </c>
      <c r="AD73" s="57">
        <v>17</v>
      </c>
      <c r="AE73" s="57">
        <v>22</v>
      </c>
      <c r="AF73" s="17">
        <v>16</v>
      </c>
      <c r="AG73" s="17"/>
      <c r="AH73" s="17">
        <f>5+5</f>
        <v>10</v>
      </c>
      <c r="AI73" s="17">
        <f>13+13</f>
        <v>26</v>
      </c>
      <c r="AJ73" s="17"/>
      <c r="AK73" s="17"/>
      <c r="AL73" s="17"/>
    </row>
    <row r="74" spans="2:38" ht="13.5">
      <c r="B74" s="18" t="s">
        <v>101</v>
      </c>
      <c r="C74" s="14">
        <v>98</v>
      </c>
      <c r="D74" s="14">
        <v>36</v>
      </c>
      <c r="E74" s="14">
        <v>50</v>
      </c>
      <c r="F74" s="14">
        <v>88</v>
      </c>
      <c r="G74" s="14"/>
      <c r="H74" s="14"/>
      <c r="I74" s="14">
        <v>61</v>
      </c>
      <c r="J74" s="14">
        <v>70</v>
      </c>
      <c r="K74" s="14">
        <v>81</v>
      </c>
      <c r="L74" s="15">
        <v>112</v>
      </c>
      <c r="M74" s="19">
        <v>67</v>
      </c>
      <c r="N74" s="22">
        <v>59</v>
      </c>
      <c r="O74" s="22">
        <v>0</v>
      </c>
      <c r="P74" s="22">
        <v>31</v>
      </c>
      <c r="Q74" s="22">
        <v>66</v>
      </c>
      <c r="R74" s="22">
        <v>17</v>
      </c>
      <c r="S74" s="22">
        <v>21</v>
      </c>
      <c r="T74" s="22">
        <v>21</v>
      </c>
      <c r="U74" s="22">
        <v>0</v>
      </c>
      <c r="V74" s="22">
        <v>16</v>
      </c>
      <c r="W74" s="22">
        <v>11</v>
      </c>
      <c r="X74" s="22">
        <v>33</v>
      </c>
      <c r="Y74" s="22">
        <v>33</v>
      </c>
      <c r="Z74" s="22">
        <v>0</v>
      </c>
      <c r="AA74" s="22">
        <v>11</v>
      </c>
      <c r="AB74" s="57">
        <f>('[1]Grado'!B23)</f>
        <v>5</v>
      </c>
      <c r="AC74" s="57">
        <v>15</v>
      </c>
      <c r="AD74" s="57">
        <v>18</v>
      </c>
      <c r="AE74" s="57">
        <v>15</v>
      </c>
      <c r="AF74" s="17">
        <v>27</v>
      </c>
      <c r="AG74" s="17">
        <v>20</v>
      </c>
      <c r="AH74" s="17">
        <v>22</v>
      </c>
      <c r="AI74" s="17"/>
      <c r="AJ74" s="17">
        <v>2</v>
      </c>
      <c r="AK74" s="17">
        <v>33</v>
      </c>
      <c r="AL74" s="17">
        <v>25</v>
      </c>
    </row>
    <row r="75" spans="2:38" ht="13.5">
      <c r="B75" s="18" t="s">
        <v>102</v>
      </c>
      <c r="C75" s="14">
        <v>164</v>
      </c>
      <c r="D75" s="14">
        <v>351</v>
      </c>
      <c r="E75" s="14">
        <v>515</v>
      </c>
      <c r="F75" s="14">
        <v>197</v>
      </c>
      <c r="G75" s="14">
        <v>414</v>
      </c>
      <c r="H75" s="14">
        <v>466</v>
      </c>
      <c r="I75" s="14">
        <v>452</v>
      </c>
      <c r="J75" s="14">
        <v>352</v>
      </c>
      <c r="K75" s="14">
        <v>514</v>
      </c>
      <c r="L75" s="15">
        <v>570</v>
      </c>
      <c r="M75" s="19">
        <v>730</v>
      </c>
      <c r="N75" s="22">
        <v>444</v>
      </c>
      <c r="O75" s="22">
        <v>429</v>
      </c>
      <c r="P75" s="22">
        <v>491</v>
      </c>
      <c r="Q75" s="22">
        <v>521</v>
      </c>
      <c r="R75" s="22">
        <v>451</v>
      </c>
      <c r="S75" s="22">
        <v>467</v>
      </c>
      <c r="T75" s="22">
        <v>557</v>
      </c>
      <c r="U75" s="22">
        <v>452</v>
      </c>
      <c r="V75" s="22">
        <v>477</v>
      </c>
      <c r="W75" s="22">
        <v>360</v>
      </c>
      <c r="X75" s="22">
        <v>414</v>
      </c>
      <c r="Y75" s="22">
        <v>554</v>
      </c>
      <c r="Z75" s="22">
        <v>589</v>
      </c>
      <c r="AA75" s="22">
        <v>563</v>
      </c>
      <c r="AB75" s="57">
        <f>('[1]Occidente Sur'!B14)</f>
        <v>524</v>
      </c>
      <c r="AC75" s="57">
        <v>535</v>
      </c>
      <c r="AD75" s="57">
        <v>632</v>
      </c>
      <c r="AE75" s="57">
        <v>598</v>
      </c>
      <c r="AF75" s="17">
        <v>555</v>
      </c>
      <c r="AG75" s="17">
        <v>686</v>
      </c>
      <c r="AH75" s="17">
        <f>72+176+167+184</f>
        <v>599</v>
      </c>
      <c r="AI75" s="17">
        <f>391+76+18</f>
        <v>485</v>
      </c>
      <c r="AJ75" s="17"/>
      <c r="AK75" s="17">
        <f>52+45+29</f>
        <v>126</v>
      </c>
      <c r="AL75" s="17">
        <f>192+196+32+268</f>
        <v>688</v>
      </c>
    </row>
    <row r="76" spans="2:38" ht="13.5">
      <c r="B76" s="18" t="s">
        <v>103</v>
      </c>
      <c r="C76" s="14">
        <v>847</v>
      </c>
      <c r="D76" s="14">
        <v>1121</v>
      </c>
      <c r="E76" s="14">
        <v>890</v>
      </c>
      <c r="F76" s="14">
        <v>918</v>
      </c>
      <c r="G76" s="14">
        <v>642</v>
      </c>
      <c r="H76" s="14">
        <v>416</v>
      </c>
      <c r="I76" s="14">
        <v>328</v>
      </c>
      <c r="J76" s="14">
        <v>462</v>
      </c>
      <c r="K76" s="14">
        <v>508</v>
      </c>
      <c r="L76" s="15">
        <v>521</v>
      </c>
      <c r="M76" s="19">
        <v>586</v>
      </c>
      <c r="N76" s="22">
        <v>567</v>
      </c>
      <c r="O76" s="22">
        <v>452</v>
      </c>
      <c r="P76" s="22">
        <v>538</v>
      </c>
      <c r="Q76" s="22">
        <v>437</v>
      </c>
      <c r="R76" s="22">
        <v>501</v>
      </c>
      <c r="S76" s="22">
        <v>429</v>
      </c>
      <c r="T76" s="22">
        <v>464</v>
      </c>
      <c r="U76" s="22">
        <v>508</v>
      </c>
      <c r="V76" s="22">
        <v>451</v>
      </c>
      <c r="W76" s="22">
        <v>442</v>
      </c>
      <c r="X76" s="22">
        <v>361</v>
      </c>
      <c r="Y76" s="22">
        <v>335</v>
      </c>
      <c r="Z76" s="22">
        <v>471</v>
      </c>
      <c r="AA76" s="22">
        <v>343</v>
      </c>
      <c r="AB76" s="57">
        <f>('[1]Cuenca Navia'!B17)</f>
        <v>290</v>
      </c>
      <c r="AC76" s="57">
        <v>408</v>
      </c>
      <c r="AD76" s="57">
        <v>402</v>
      </c>
      <c r="AE76" s="57">
        <v>462</v>
      </c>
      <c r="AF76" s="17">
        <v>425</v>
      </c>
      <c r="AG76" s="17">
        <v>467</v>
      </c>
      <c r="AH76" s="17">
        <f>64+252+139+27</f>
        <v>482</v>
      </c>
      <c r="AI76" s="17">
        <f>332+52+11+124</f>
        <v>519</v>
      </c>
      <c r="AJ76" s="17">
        <f>180+40</f>
        <v>220</v>
      </c>
      <c r="AK76" s="17">
        <f>72+161+206</f>
        <v>439</v>
      </c>
      <c r="AL76" s="17">
        <f>151+181+84</f>
        <v>416</v>
      </c>
    </row>
    <row r="77" spans="2:38" ht="13.5">
      <c r="B77" s="18" t="s">
        <v>104</v>
      </c>
      <c r="C77" s="14">
        <v>353</v>
      </c>
      <c r="D77" s="14">
        <v>393</v>
      </c>
      <c r="E77" s="14">
        <v>316</v>
      </c>
      <c r="F77" s="14">
        <v>425</v>
      </c>
      <c r="G77" s="14">
        <v>481</v>
      </c>
      <c r="H77" s="14">
        <v>329</v>
      </c>
      <c r="I77" s="14">
        <v>358</v>
      </c>
      <c r="J77" s="14">
        <v>249</v>
      </c>
      <c r="K77" s="14">
        <v>274</v>
      </c>
      <c r="L77" s="15">
        <v>246</v>
      </c>
      <c r="M77" s="19">
        <v>220</v>
      </c>
      <c r="N77" s="22">
        <v>329</v>
      </c>
      <c r="O77" s="22">
        <v>308</v>
      </c>
      <c r="P77" s="22">
        <v>398</v>
      </c>
      <c r="Q77" s="22">
        <v>535</v>
      </c>
      <c r="R77" s="22">
        <v>498</v>
      </c>
      <c r="S77" s="22">
        <v>429</v>
      </c>
      <c r="T77" s="22">
        <v>409</v>
      </c>
      <c r="U77" s="22">
        <v>378</v>
      </c>
      <c r="V77" s="22">
        <v>347</v>
      </c>
      <c r="W77" s="22">
        <v>290</v>
      </c>
      <c r="X77" s="22">
        <v>295</v>
      </c>
      <c r="Y77" s="22">
        <v>308</v>
      </c>
      <c r="Z77" s="22">
        <v>116</v>
      </c>
      <c r="AA77" s="22">
        <v>299</v>
      </c>
      <c r="AB77" s="57">
        <f>('[1]Oscos Eo'!B25)</f>
        <v>318</v>
      </c>
      <c r="AC77" s="57">
        <v>281</v>
      </c>
      <c r="AD77" s="57">
        <v>331</v>
      </c>
      <c r="AE77" s="57">
        <v>310</v>
      </c>
      <c r="AF77" s="17">
        <v>304</v>
      </c>
      <c r="AG77" s="17">
        <v>232</v>
      </c>
      <c r="AH77" s="17">
        <f>32+77+91+8</f>
        <v>208</v>
      </c>
      <c r="AI77" s="17">
        <f>152+52+44</f>
        <v>248</v>
      </c>
      <c r="AJ77" s="17"/>
      <c r="AK77" s="17">
        <f>20+59+90+15</f>
        <v>184</v>
      </c>
      <c r="AL77" s="17">
        <f>120+12</f>
        <v>132</v>
      </c>
    </row>
    <row r="78" spans="2:38" ht="13.5">
      <c r="B78" s="18" t="s">
        <v>105</v>
      </c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9"/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57">
        <f>('[1]Oscos Eo'!B26)</f>
        <v>0</v>
      </c>
      <c r="AC78" s="57">
        <v>0</v>
      </c>
      <c r="AD78" s="57">
        <v>0</v>
      </c>
      <c r="AE78" s="57">
        <v>0</v>
      </c>
      <c r="AF78" s="17">
        <v>0</v>
      </c>
      <c r="AG78" s="17"/>
      <c r="AH78" s="17"/>
      <c r="AI78" s="17"/>
      <c r="AJ78" s="17"/>
      <c r="AK78" s="17"/>
      <c r="AL78" s="17"/>
    </row>
    <row r="79" spans="2:38" ht="13.5">
      <c r="B79" s="18" t="s">
        <v>106</v>
      </c>
      <c r="C79" s="14">
        <v>130</v>
      </c>
      <c r="D79" s="14">
        <v>292</v>
      </c>
      <c r="E79" s="14">
        <v>191</v>
      </c>
      <c r="F79" s="14">
        <v>257</v>
      </c>
      <c r="G79" s="14">
        <v>131</v>
      </c>
      <c r="H79" s="14">
        <v>176</v>
      </c>
      <c r="I79" s="14">
        <v>168</v>
      </c>
      <c r="J79" s="14">
        <v>187</v>
      </c>
      <c r="K79" s="14">
        <v>138</v>
      </c>
      <c r="L79" s="15">
        <v>218</v>
      </c>
      <c r="M79" s="19">
        <v>132</v>
      </c>
      <c r="N79" s="22">
        <v>380</v>
      </c>
      <c r="O79" s="22">
        <v>394</v>
      </c>
      <c r="P79" s="22">
        <v>404</v>
      </c>
      <c r="Q79" s="22">
        <v>325</v>
      </c>
      <c r="R79" s="22">
        <v>264</v>
      </c>
      <c r="S79" s="22">
        <v>346</v>
      </c>
      <c r="T79" s="22">
        <v>335</v>
      </c>
      <c r="U79" s="22">
        <v>215</v>
      </c>
      <c r="V79" s="22">
        <v>283</v>
      </c>
      <c r="W79" s="22">
        <v>224</v>
      </c>
      <c r="X79" s="22">
        <v>191</v>
      </c>
      <c r="Y79" s="22">
        <v>269</v>
      </c>
      <c r="Z79" s="22">
        <v>236</v>
      </c>
      <c r="AA79" s="22">
        <v>208</v>
      </c>
      <c r="AB79" s="57">
        <f>('[1]Gijon'!B10)</f>
        <v>169</v>
      </c>
      <c r="AC79" s="57">
        <v>248</v>
      </c>
      <c r="AD79" s="57">
        <v>220</v>
      </c>
      <c r="AE79" s="57">
        <v>180</v>
      </c>
      <c r="AF79" s="17">
        <v>200</v>
      </c>
      <c r="AG79" s="17">
        <v>190</v>
      </c>
      <c r="AH79" s="17">
        <f>108+23+66</f>
        <v>197</v>
      </c>
      <c r="AI79" s="17">
        <f>99+96</f>
        <v>195</v>
      </c>
      <c r="AJ79" s="17">
        <f>23+76</f>
        <v>99</v>
      </c>
      <c r="AK79" s="17">
        <f>96+72+79+14</f>
        <v>261</v>
      </c>
      <c r="AL79" s="17">
        <f>36+59+116+12</f>
        <v>223</v>
      </c>
    </row>
    <row r="80" spans="2:38" ht="13.5">
      <c r="B80" s="18" t="s">
        <v>107</v>
      </c>
      <c r="C80" s="14">
        <v>71</v>
      </c>
      <c r="D80" s="14">
        <v>196</v>
      </c>
      <c r="E80" s="14"/>
      <c r="F80" s="14">
        <v>138</v>
      </c>
      <c r="G80" s="14">
        <v>9</v>
      </c>
      <c r="H80" s="14"/>
      <c r="I80" s="14"/>
      <c r="J80" s="14"/>
      <c r="K80" s="14">
        <v>39</v>
      </c>
      <c r="L80" s="15">
        <v>93</v>
      </c>
      <c r="M80" s="19">
        <v>65</v>
      </c>
      <c r="N80" s="22">
        <v>41</v>
      </c>
      <c r="O80" s="22">
        <v>28</v>
      </c>
      <c r="P80" s="22">
        <v>28</v>
      </c>
      <c r="Q80" s="22">
        <v>64</v>
      </c>
      <c r="R80" s="22">
        <v>0</v>
      </c>
      <c r="S80" s="22">
        <v>38</v>
      </c>
      <c r="T80" s="22">
        <v>23</v>
      </c>
      <c r="U80" s="22">
        <v>22</v>
      </c>
      <c r="V80" s="22">
        <v>9</v>
      </c>
      <c r="W80" s="22">
        <v>24</v>
      </c>
      <c r="X80" s="22">
        <v>30</v>
      </c>
      <c r="Y80" s="22">
        <v>31</v>
      </c>
      <c r="Z80" s="22">
        <v>27</v>
      </c>
      <c r="AA80" s="22">
        <v>17</v>
      </c>
      <c r="AB80" s="57">
        <f>('[1]Cuenca Navia'!B18)</f>
        <v>12</v>
      </c>
      <c r="AC80" s="57">
        <v>18</v>
      </c>
      <c r="AD80" s="57">
        <v>0</v>
      </c>
      <c r="AE80" s="57">
        <v>0</v>
      </c>
      <c r="AF80" s="17">
        <v>0</v>
      </c>
      <c r="AG80" s="17"/>
      <c r="AH80" s="17"/>
      <c r="AI80" s="17"/>
      <c r="AJ80" s="17"/>
      <c r="AK80" s="17"/>
      <c r="AL80" s="17"/>
    </row>
    <row r="81" spans="2:38" ht="13.5">
      <c r="B81" s="18" t="s">
        <v>108</v>
      </c>
      <c r="C81" s="14"/>
      <c r="D81" s="14"/>
      <c r="E81" s="14"/>
      <c r="F81" s="14"/>
      <c r="G81" s="14"/>
      <c r="H81" s="14"/>
      <c r="I81" s="14">
        <v>10</v>
      </c>
      <c r="J81" s="14">
        <v>15</v>
      </c>
      <c r="K81" s="14">
        <v>10</v>
      </c>
      <c r="L81" s="15"/>
      <c r="M81" s="19"/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57">
        <f>('[1]Grado'!B24)</f>
        <v>0</v>
      </c>
      <c r="AC81" s="57">
        <v>0</v>
      </c>
      <c r="AD81" s="57">
        <v>0</v>
      </c>
      <c r="AE81" s="57">
        <v>0</v>
      </c>
      <c r="AF81" s="17">
        <v>0</v>
      </c>
      <c r="AG81" s="17"/>
      <c r="AH81" s="17"/>
      <c r="AI81" s="17"/>
      <c r="AJ81" s="17"/>
      <c r="AK81" s="17"/>
      <c r="AL81" s="17"/>
    </row>
    <row r="82" spans="2:38" ht="14.25">
      <c r="B82" s="26" t="s">
        <v>109</v>
      </c>
      <c r="C82" s="23">
        <f aca="true" t="shared" si="0" ref="C82:U82">SUM(C4:C81)</f>
        <v>20679</v>
      </c>
      <c r="D82" s="24">
        <f t="shared" si="0"/>
        <v>27592</v>
      </c>
      <c r="E82" s="23">
        <f t="shared" si="0"/>
        <v>28103</v>
      </c>
      <c r="F82" s="23">
        <f t="shared" si="0"/>
        <v>33807</v>
      </c>
      <c r="G82" s="23">
        <f t="shared" si="0"/>
        <v>32834</v>
      </c>
      <c r="H82" s="23">
        <f t="shared" si="0"/>
        <v>33282</v>
      </c>
      <c r="I82" s="23">
        <f t="shared" si="0"/>
        <v>33306</v>
      </c>
      <c r="J82" s="23">
        <f t="shared" si="0"/>
        <v>35282</v>
      </c>
      <c r="K82" s="23">
        <f t="shared" si="0"/>
        <v>37190</v>
      </c>
      <c r="L82" s="24">
        <f t="shared" si="0"/>
        <v>36268</v>
      </c>
      <c r="M82" s="25">
        <f t="shared" si="0"/>
        <v>39485</v>
      </c>
      <c r="N82" s="179">
        <f t="shared" si="0"/>
        <v>40098</v>
      </c>
      <c r="O82" s="179">
        <f t="shared" si="0"/>
        <v>38725</v>
      </c>
      <c r="P82" s="179">
        <f t="shared" si="0"/>
        <v>36591</v>
      </c>
      <c r="Q82" s="179">
        <f t="shared" si="0"/>
        <v>37413</v>
      </c>
      <c r="R82" s="179">
        <f t="shared" si="0"/>
        <v>35475</v>
      </c>
      <c r="S82" s="179">
        <f t="shared" si="0"/>
        <v>33524</v>
      </c>
      <c r="T82" s="179">
        <f t="shared" si="0"/>
        <v>29682</v>
      </c>
      <c r="U82" s="179">
        <f t="shared" si="0"/>
        <v>30303</v>
      </c>
      <c r="V82" s="179">
        <v>30587</v>
      </c>
      <c r="W82" s="179">
        <v>31182</v>
      </c>
      <c r="X82" s="179">
        <v>31648</v>
      </c>
      <c r="Y82" s="179">
        <v>33552</v>
      </c>
      <c r="Z82" s="179">
        <v>34446</v>
      </c>
      <c r="AA82" s="179">
        <v>35434</v>
      </c>
      <c r="AB82" s="179">
        <f aca="true" t="shared" si="1" ref="AB82:AH82">SUM(AB4:AB81)</f>
        <v>34816</v>
      </c>
      <c r="AC82" s="179">
        <f t="shared" si="1"/>
        <v>33599</v>
      </c>
      <c r="AD82" s="179">
        <f t="shared" si="1"/>
        <v>33836</v>
      </c>
      <c r="AE82" s="179">
        <f t="shared" si="1"/>
        <v>36752</v>
      </c>
      <c r="AF82" s="179">
        <f t="shared" si="1"/>
        <v>37372</v>
      </c>
      <c r="AG82" s="179">
        <f t="shared" si="1"/>
        <v>38379</v>
      </c>
      <c r="AH82" s="179">
        <f t="shared" si="1"/>
        <v>39971</v>
      </c>
      <c r="AI82" s="179">
        <f>SUM(AI4:AI81)</f>
        <v>35152</v>
      </c>
      <c r="AJ82" s="179">
        <f>SUM(AJ4:AJ81)</f>
        <v>19395</v>
      </c>
      <c r="AK82" s="179">
        <f>SUM(AK4:AK81)</f>
        <v>34186</v>
      </c>
      <c r="AL82" s="179">
        <f>SUM(AL4:AL81)</f>
        <v>39436</v>
      </c>
    </row>
    <row r="84" ht="13.5">
      <c r="AL84" s="264"/>
    </row>
    <row r="86" ht="13.5">
      <c r="K86" s="27"/>
    </row>
    <row r="89" spans="16:27" ht="13.5"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</sheetData>
  <sheetProtection/>
  <printOptions horizontalCentered="1" verticalCentered="1"/>
  <pageMargins left="0.1968503937007874" right="0.1968503937007874" top="0.3937007874015748" bottom="0.3937007874015748" header="1.299212598425197" footer="0.5118110236220472"/>
  <pageSetup fitToHeight="1" fitToWidth="1"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7"/>
  <sheetViews>
    <sheetView view="pageBreakPreview" zoomScale="90" zoomScaleNormal="90" zoomScaleSheetLayoutView="90" zoomScalePageLayoutView="0"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L14" sqref="AL14"/>
    </sheetView>
  </sheetViews>
  <sheetFormatPr defaultColWidth="12" defaultRowHeight="13.5"/>
  <cols>
    <col min="1" max="1" width="4.5" style="0" customWidth="1"/>
    <col min="2" max="2" width="21" style="0" customWidth="1"/>
    <col min="16" max="27" width="16" style="0" customWidth="1"/>
    <col min="28" max="28" width="12.66015625" style="0" bestFit="1" customWidth="1"/>
    <col min="29" max="37" width="12.66015625" style="0" customWidth="1"/>
  </cols>
  <sheetData>
    <row r="1" spans="2:27" ht="13.5">
      <c r="B1" s="5" t="s">
        <v>111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33.75">
      <c r="B2" s="30" t="s">
        <v>112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2:38" ht="14.25" thickBot="1">
      <c r="B3" s="31"/>
      <c r="C3" s="182" t="s">
        <v>4</v>
      </c>
      <c r="D3" s="182" t="s">
        <v>5</v>
      </c>
      <c r="E3" s="182" t="s">
        <v>6</v>
      </c>
      <c r="F3" s="182" t="s">
        <v>7</v>
      </c>
      <c r="G3" s="182" t="s">
        <v>8</v>
      </c>
      <c r="H3" s="182" t="s">
        <v>9</v>
      </c>
      <c r="I3" s="182" t="s">
        <v>10</v>
      </c>
      <c r="J3" s="182" t="s">
        <v>11</v>
      </c>
      <c r="K3" s="182" t="s">
        <v>12</v>
      </c>
      <c r="L3" s="182" t="s">
        <v>13</v>
      </c>
      <c r="M3" s="183" t="s">
        <v>14</v>
      </c>
      <c r="N3" s="184" t="s">
        <v>15</v>
      </c>
      <c r="O3" s="184" t="s">
        <v>16</v>
      </c>
      <c r="P3" s="184" t="s">
        <v>17</v>
      </c>
      <c r="Q3" s="185" t="s">
        <v>18</v>
      </c>
      <c r="R3" s="185" t="s">
        <v>19</v>
      </c>
      <c r="S3" s="185" t="s">
        <v>20</v>
      </c>
      <c r="T3" s="185" t="s">
        <v>21</v>
      </c>
      <c r="U3" s="185" t="s">
        <v>22</v>
      </c>
      <c r="V3" s="185" t="s">
        <v>23</v>
      </c>
      <c r="W3" s="185" t="s">
        <v>24</v>
      </c>
      <c r="X3" s="185" t="s">
        <v>25</v>
      </c>
      <c r="Y3" s="185" t="s">
        <v>26</v>
      </c>
      <c r="Z3" s="185" t="s">
        <v>27</v>
      </c>
      <c r="AA3" s="185" t="s">
        <v>28</v>
      </c>
      <c r="AB3" s="185" t="s">
        <v>29</v>
      </c>
      <c r="AC3" s="186" t="s">
        <v>110</v>
      </c>
      <c r="AD3" s="186" t="s">
        <v>188</v>
      </c>
      <c r="AE3" s="186" t="s">
        <v>193</v>
      </c>
      <c r="AF3" s="186" t="s">
        <v>194</v>
      </c>
      <c r="AG3" s="231" t="s">
        <v>228</v>
      </c>
      <c r="AH3" s="231" t="s">
        <v>234</v>
      </c>
      <c r="AI3" s="231" t="s">
        <v>241</v>
      </c>
      <c r="AJ3" s="231" t="s">
        <v>242</v>
      </c>
      <c r="AK3" s="261" t="s">
        <v>243</v>
      </c>
      <c r="AL3" s="261" t="s">
        <v>246</v>
      </c>
    </row>
    <row r="4" spans="2:38" ht="14.25">
      <c r="B4" s="32" t="s">
        <v>113</v>
      </c>
      <c r="C4" s="33">
        <v>2697</v>
      </c>
      <c r="D4" s="34">
        <v>3609</v>
      </c>
      <c r="E4" s="34">
        <v>2705</v>
      </c>
      <c r="F4" s="34">
        <v>2904</v>
      </c>
      <c r="G4" s="34">
        <v>2188</v>
      </c>
      <c r="H4" s="34">
        <v>1442</v>
      </c>
      <c r="I4" s="34">
        <v>1172</v>
      </c>
      <c r="J4" s="34">
        <v>1427</v>
      </c>
      <c r="K4" s="34"/>
      <c r="L4" s="34">
        <v>0</v>
      </c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8"/>
      <c r="AC4" s="180"/>
      <c r="AD4" s="180"/>
      <c r="AE4" s="180"/>
      <c r="AF4" s="180"/>
      <c r="AG4" s="180"/>
      <c r="AH4" s="234"/>
      <c r="AI4" s="234"/>
      <c r="AJ4" s="234"/>
      <c r="AK4" s="234"/>
      <c r="AL4" s="234"/>
    </row>
    <row r="5" spans="2:38" ht="14.25">
      <c r="B5" s="32" t="s">
        <v>114</v>
      </c>
      <c r="C5" s="37"/>
      <c r="D5" s="38"/>
      <c r="E5" s="38"/>
      <c r="F5" s="38"/>
      <c r="G5" s="38"/>
      <c r="H5" s="38"/>
      <c r="I5" s="38"/>
      <c r="J5" s="38"/>
      <c r="K5" s="38">
        <v>274</v>
      </c>
      <c r="L5" s="38">
        <v>322</v>
      </c>
      <c r="M5" s="19">
        <v>494</v>
      </c>
      <c r="N5" s="39">
        <v>634</v>
      </c>
      <c r="O5" s="39">
        <v>589</v>
      </c>
      <c r="P5" s="39">
        <v>741</v>
      </c>
      <c r="Q5" s="39">
        <v>1071</v>
      </c>
      <c r="R5" s="39">
        <v>975</v>
      </c>
      <c r="S5" s="39">
        <v>782</v>
      </c>
      <c r="T5" s="39">
        <v>999</v>
      </c>
      <c r="U5" s="39">
        <v>999</v>
      </c>
      <c r="V5" s="39">
        <v>904</v>
      </c>
      <c r="W5" s="39">
        <v>885</v>
      </c>
      <c r="X5" s="39">
        <v>976</v>
      </c>
      <c r="Y5" s="39">
        <v>886</v>
      </c>
      <c r="Z5" s="39">
        <v>437</v>
      </c>
      <c r="AA5" s="39">
        <v>791</v>
      </c>
      <c r="AB5" s="59">
        <f>'[1]ZONAS, x depor,cat. y mun.'!B127</f>
        <v>712</v>
      </c>
      <c r="AC5" s="181">
        <v>751</v>
      </c>
      <c r="AD5" s="181">
        <v>701</v>
      </c>
      <c r="AE5" s="181">
        <v>736</v>
      </c>
      <c r="AF5" s="229">
        <f>'Por Municipios'!AF20+'Por Municipios'!AF26+'Por Municipios'!AF30+'Por Municipios'!AF62+'Por Municipios'!AF64+'Por Municipios'!AF65+'Por Municipios'!AF72+'Por Municipios'!AF73+'Por Municipios'!AF77+'Por Municipios'!AF78</f>
        <v>751</v>
      </c>
      <c r="AG5" s="229">
        <f>'Por Municipios'!AG20+'Por Municipios'!AG26+'Por Municipios'!AG30+'Por Municipios'!AG62+'Por Municipios'!AG64+'Por Municipios'!AG65+'Por Municipios'!AG72+'Por Municipios'!AG73+'Por Municipios'!AG77+'Por Municipios'!AG78</f>
        <v>722</v>
      </c>
      <c r="AH5" s="235">
        <f>'Por Municipios'!AH20+'Por Municipios'!AH26+'Por Municipios'!AH30+'Por Municipios'!AH62+'Por Municipios'!AH64+'Por Municipios'!AH65+'Por Municipios'!AH72+'Por Municipios'!AH73+'Por Municipios'!AH77+'Por Municipios'!AH78</f>
        <v>729</v>
      </c>
      <c r="AI5" s="235">
        <f>'Por Municipios'!AI20+'Por Municipios'!AI26+'Por Municipios'!AI30+'Por Municipios'!AI62+'Por Municipios'!AI64+'Por Municipios'!AI65+'Por Municipios'!AI72+'Por Municipios'!AI73+'Por Municipios'!AI77+'Por Municipios'!AI78</f>
        <v>885</v>
      </c>
      <c r="AJ5" s="235">
        <f>'Por Municipios'!AJ20+'Por Municipios'!AJ26+'Por Municipios'!AJ30+'Por Municipios'!AJ62+'Por Municipios'!AJ64+'Por Municipios'!AJ65+'Por Municipios'!AJ72+'Por Municipios'!AJ73+'Por Municipios'!AJ77+'Por Municipios'!AJ78</f>
        <v>203</v>
      </c>
      <c r="AK5" s="235">
        <f>'Por Municipios'!AK20+'Por Municipios'!AK26+'Por Municipios'!AK30+'Por Municipios'!AK62+'Por Municipios'!AK64+'Por Municipios'!AK65+'Por Municipios'!AK72+'Por Municipios'!AK73+'Por Municipios'!AK77+'Por Municipios'!AK78</f>
        <v>498</v>
      </c>
      <c r="AL5" s="235">
        <f>'Por Municipios'!AL20+'Por Municipios'!AL26+'Por Municipios'!AL30+'Por Municipios'!AL62+'Por Municipios'!AL64+'Por Municipios'!AL65+'Por Municipios'!AL72+'Por Municipios'!AL73+'Por Municipios'!AL77+'Por Municipios'!AL78</f>
        <v>731</v>
      </c>
    </row>
    <row r="6" spans="2:38" ht="14.25">
      <c r="B6" s="32" t="s">
        <v>56</v>
      </c>
      <c r="C6" s="37">
        <v>1037</v>
      </c>
      <c r="D6" s="38">
        <v>865</v>
      </c>
      <c r="E6" s="38">
        <v>839</v>
      </c>
      <c r="F6" s="38">
        <v>909</v>
      </c>
      <c r="G6" s="38">
        <v>778</v>
      </c>
      <c r="H6" s="38">
        <v>715</v>
      </c>
      <c r="I6" s="38">
        <v>923</v>
      </c>
      <c r="J6" s="38">
        <v>992</v>
      </c>
      <c r="K6" s="38">
        <v>1197</v>
      </c>
      <c r="L6" s="38">
        <v>1002</v>
      </c>
      <c r="M6" s="19">
        <v>1020</v>
      </c>
      <c r="N6" s="39">
        <v>914</v>
      </c>
      <c r="O6" s="39">
        <v>885</v>
      </c>
      <c r="P6" s="39">
        <v>864</v>
      </c>
      <c r="Q6" s="39">
        <v>960</v>
      </c>
      <c r="R6" s="39">
        <v>814</v>
      </c>
      <c r="S6" s="39">
        <v>805</v>
      </c>
      <c r="T6" s="39">
        <v>634</v>
      </c>
      <c r="U6" s="39">
        <v>736</v>
      </c>
      <c r="V6" s="39">
        <v>613</v>
      </c>
      <c r="W6" s="39">
        <v>616</v>
      </c>
      <c r="X6" s="39">
        <v>638</v>
      </c>
      <c r="Y6" s="39">
        <v>853</v>
      </c>
      <c r="Z6" s="39">
        <v>759</v>
      </c>
      <c r="AA6" s="39">
        <v>757</v>
      </c>
      <c r="AB6" s="59">
        <f>'[1]ZONAS, x depor,cat. y mun.'!B123</f>
        <v>797</v>
      </c>
      <c r="AC6" s="181">
        <v>1294</v>
      </c>
      <c r="AD6" s="181">
        <v>897</v>
      </c>
      <c r="AE6" s="181">
        <v>1068</v>
      </c>
      <c r="AF6" s="229">
        <f>'Por Municipios'!AF8+'Por Municipios'!AF13+'Por Municipios'!AF29+'Por Municipios'!AF55+'Por Municipios'!AF56+'Por Municipios'!AF61+'Por Municipios'!AF66+'Por Municipios'!AF70+'Por Municipios'!AF74+'Por Municipios'!AF81</f>
        <v>967</v>
      </c>
      <c r="AG6" s="229">
        <f>'Por Municipios'!AG8+'Por Municipios'!AG13+'Por Municipios'!AG29+'Por Municipios'!AG55+'Por Municipios'!AG56+'Por Municipios'!AG61+'Por Municipios'!AG66+'Por Municipios'!AG70+'Por Municipios'!AG74+'Por Municipios'!AG81</f>
        <v>1073</v>
      </c>
      <c r="AH6" s="235">
        <f>'Por Municipios'!AH8+'Por Municipios'!AH13+'Por Municipios'!AH29+'Por Municipios'!AH55+'Por Municipios'!AH56+'Por Municipios'!AH61+'Por Municipios'!AH66+'Por Municipios'!AH70+'Por Municipios'!AH74+'Por Municipios'!AH81</f>
        <v>1088</v>
      </c>
      <c r="AI6" s="235">
        <f>'Por Municipios'!AI8+'Por Municipios'!AI13+'Por Municipios'!AI29+'Por Municipios'!AI55+'Por Municipios'!AI56+'Por Municipios'!AI61+'Por Municipios'!AI66+'Por Municipios'!AI70+'Por Municipios'!AI74+'Por Municipios'!AI81</f>
        <v>797</v>
      </c>
      <c r="AJ6" s="235">
        <f>'Por Municipios'!AJ8+'Por Municipios'!AJ13+'Por Municipios'!AJ29+'Por Municipios'!AJ55+'Por Municipios'!AJ56+'Por Municipios'!AJ61+'Por Municipios'!AJ66+'Por Municipios'!AJ70+'Por Municipios'!AJ74+'Por Municipios'!AJ81</f>
        <v>279</v>
      </c>
      <c r="AK6" s="235">
        <f>'Por Municipios'!AK8+'Por Municipios'!AK13+'Por Municipios'!AK29+'Por Municipios'!AK55+'Por Municipios'!AK56+'Por Municipios'!AK61+'Por Municipios'!AK66+'Por Municipios'!AK70+'Por Municipios'!AK74+'Por Municipios'!AK81</f>
        <v>886</v>
      </c>
      <c r="AL6" s="235">
        <f>'Por Municipios'!AL8+'Por Municipios'!AL13+'Por Municipios'!AL29+'Por Municipios'!AL55+'Por Municipios'!AL56+'Por Municipios'!AL61+'Por Municipios'!AL66+'Por Municipios'!AL70+'Por Municipios'!AL74+'Por Municipios'!AL81</f>
        <v>979</v>
      </c>
    </row>
    <row r="7" spans="2:38" ht="14.25">
      <c r="B7" s="32" t="s">
        <v>115</v>
      </c>
      <c r="C7" s="37"/>
      <c r="D7" s="38"/>
      <c r="E7" s="38"/>
      <c r="F7" s="38"/>
      <c r="G7" s="38"/>
      <c r="H7" s="38"/>
      <c r="I7" s="38"/>
      <c r="J7" s="38"/>
      <c r="K7" s="38">
        <v>1326</v>
      </c>
      <c r="L7" s="38">
        <v>1295</v>
      </c>
      <c r="M7" s="19">
        <v>1164</v>
      </c>
      <c r="N7" s="39">
        <v>1034</v>
      </c>
      <c r="O7" s="39">
        <v>980</v>
      </c>
      <c r="P7" s="39">
        <v>1112</v>
      </c>
      <c r="Q7" s="39">
        <v>936</v>
      </c>
      <c r="R7" s="39">
        <v>941</v>
      </c>
      <c r="S7" s="39">
        <v>910</v>
      </c>
      <c r="T7" s="39">
        <v>1045</v>
      </c>
      <c r="U7" s="39">
        <v>1045</v>
      </c>
      <c r="V7" s="39">
        <v>941</v>
      </c>
      <c r="W7" s="39">
        <v>868</v>
      </c>
      <c r="X7" s="39">
        <v>806</v>
      </c>
      <c r="Y7" s="39">
        <v>663</v>
      </c>
      <c r="Z7" s="39">
        <v>888</v>
      </c>
      <c r="AA7" s="39">
        <v>785</v>
      </c>
      <c r="AB7" s="59">
        <f>'[1]ZONAS, x depor,cat. y mun.'!B121</f>
        <v>772</v>
      </c>
      <c r="AC7" s="181">
        <v>842</v>
      </c>
      <c r="AD7" s="181">
        <v>850</v>
      </c>
      <c r="AE7" s="181">
        <v>919</v>
      </c>
      <c r="AF7" s="229">
        <f>'Por Municipios'!AF10+'Por Municipios'!AF21+'Por Municipios'!AF32+'Por Municipios'!AF44+'Por Municipios'!AF51+'Por Municipios'!AF76+'Por Municipios'!AF80</f>
        <v>1017</v>
      </c>
      <c r="AG7" s="229">
        <f>'Por Municipios'!AG10+'Por Municipios'!AG21+'Por Municipios'!AG32+'Por Municipios'!AG44+'Por Municipios'!AG51+'Por Municipios'!AG76+'Por Municipios'!AG80</f>
        <v>1064</v>
      </c>
      <c r="AH7" s="235">
        <f>'Por Municipios'!AH10+'Por Municipios'!AH21+'Por Municipios'!AH32+'Por Municipios'!AH44+'Por Municipios'!AH51+'Por Municipios'!AH76+'Por Municipios'!AH80</f>
        <v>1098</v>
      </c>
      <c r="AI7" s="235">
        <f>'Por Municipios'!AI10+'Por Municipios'!AI21+'Por Municipios'!AI32+'Por Municipios'!AI44+'Por Municipios'!AI51+'Por Municipios'!AI76+'Por Municipios'!AI80</f>
        <v>1281</v>
      </c>
      <c r="AJ7" s="235">
        <f>'Por Municipios'!AJ10+'Por Municipios'!AJ21+'Por Municipios'!AJ32+'Por Municipios'!AJ44+'Por Municipios'!AJ51+'Por Municipios'!AJ76+'Por Municipios'!AJ80</f>
        <v>544</v>
      </c>
      <c r="AK7" s="235">
        <f>'Por Municipios'!AK10+'Por Municipios'!AK21+'Por Municipios'!AK32+'Por Municipios'!AK44+'Por Municipios'!AK51+'Por Municipios'!AK76+'Por Municipios'!AK80</f>
        <v>944</v>
      </c>
      <c r="AL7" s="235">
        <f>'Por Municipios'!AL10+'Por Municipios'!AL21+'Por Municipios'!AL32+'Por Municipios'!AL44+'Por Municipios'!AL51+'Por Municipios'!AL76+'Por Municipios'!AL80</f>
        <v>972</v>
      </c>
    </row>
    <row r="8" spans="2:38" ht="14.25">
      <c r="B8" s="32" t="s">
        <v>116</v>
      </c>
      <c r="C8" s="37">
        <v>1250</v>
      </c>
      <c r="D8" s="38">
        <v>1221</v>
      </c>
      <c r="E8" s="38">
        <v>737</v>
      </c>
      <c r="F8" s="38">
        <v>1374</v>
      </c>
      <c r="G8" s="38">
        <v>1434</v>
      </c>
      <c r="H8" s="38">
        <v>1674</v>
      </c>
      <c r="I8" s="38">
        <v>1752</v>
      </c>
      <c r="J8" s="38">
        <v>1662</v>
      </c>
      <c r="K8" s="38">
        <v>1517</v>
      </c>
      <c r="L8" s="14">
        <v>1517</v>
      </c>
      <c r="M8" s="19">
        <v>1404</v>
      </c>
      <c r="N8" s="39">
        <v>1558</v>
      </c>
      <c r="O8" s="39">
        <v>1328</v>
      </c>
      <c r="P8" s="39">
        <v>1581</v>
      </c>
      <c r="Q8" s="39">
        <v>1780</v>
      </c>
      <c r="R8" s="39">
        <v>1483</v>
      </c>
      <c r="S8" s="39">
        <v>1633</v>
      </c>
      <c r="T8" s="39">
        <v>1400</v>
      </c>
      <c r="U8" s="39">
        <v>1408</v>
      </c>
      <c r="V8" s="39">
        <v>1546</v>
      </c>
      <c r="W8" s="39">
        <v>1326</v>
      </c>
      <c r="X8" s="39">
        <v>1350</v>
      </c>
      <c r="Y8" s="39">
        <v>1581</v>
      </c>
      <c r="Z8" s="39">
        <v>1762</v>
      </c>
      <c r="AA8" s="39">
        <v>1688</v>
      </c>
      <c r="AB8" s="59">
        <f>'[1]ZONAS, x depor,cat. y mun.'!$AH$88</f>
        <v>1798</v>
      </c>
      <c r="AC8" s="181">
        <v>1859</v>
      </c>
      <c r="AD8" s="181">
        <v>2032</v>
      </c>
      <c r="AE8" s="181">
        <v>2405</v>
      </c>
      <c r="AF8" s="229">
        <f>'Por Municipios'!AF6+'Por Municipios'!AF11+'Por Municipios'!AF14+'Por Municipios'!AF39+'Por Municipios'!AF46+'Por Municipios'!AF48+'Por Municipios'!AF49+'Por Municipios'!AF50+'Por Municipios'!AF53+'Por Municipios'!AF57+'Por Municipios'!AF58</f>
        <v>2425</v>
      </c>
      <c r="AG8" s="229">
        <f>'Por Municipios'!AG6+'Por Municipios'!AG11+'Por Municipios'!AG14+'Por Municipios'!AG39+'Por Municipios'!AG46+'Por Municipios'!AG48+'Por Municipios'!AG49+'Por Municipios'!AG50+'Por Municipios'!AG53+'Por Municipios'!AG57+'Por Municipios'!AG58</f>
        <v>2533</v>
      </c>
      <c r="AH8" s="235">
        <f>'Por Municipios'!AH6+'Por Municipios'!AH11+'Por Municipios'!AH14+'Por Municipios'!AH39+'Por Municipios'!AH46+'Por Municipios'!AH48+'Por Municipios'!AH49+'Por Municipios'!AH50+'Por Municipios'!AH53+'Por Municipios'!AH57+'Por Municipios'!AH58</f>
        <v>3287</v>
      </c>
      <c r="AI8" s="235">
        <f>'Por Municipios'!AI6+'Por Municipios'!AI11+'Por Municipios'!AI14+'Por Municipios'!AI39+'Por Municipios'!AI46+'Por Municipios'!AI48+'Por Municipios'!AI49+'Por Municipios'!AI50+'Por Municipios'!AI53+'Por Municipios'!AI57+'Por Municipios'!AI58</f>
        <v>2518</v>
      </c>
      <c r="AJ8" s="235">
        <f>'Por Municipios'!AJ6+'Por Municipios'!AJ11+'Por Municipios'!AJ14+'Por Municipios'!AJ39+'Por Municipios'!AJ46+'Por Municipios'!AJ48+'Por Municipios'!AJ49+'Por Municipios'!AJ50+'Por Municipios'!AJ53+'Por Municipios'!AJ57+'Por Municipios'!AJ58</f>
        <v>1031</v>
      </c>
      <c r="AK8" s="235">
        <f>'Por Municipios'!AK6+'Por Municipios'!AK11+'Por Municipios'!AK14+'Por Municipios'!AK39+'Por Municipios'!AK46+'Por Municipios'!AK48+'Por Municipios'!AK49+'Por Municipios'!AK50+'Por Municipios'!AK53+'Por Municipios'!AK57+'Por Municipios'!AK58</f>
        <v>2495</v>
      </c>
      <c r="AL8" s="235">
        <f>'Por Municipios'!AL6+'Por Municipios'!AL11+'Por Municipios'!AL14+'Por Municipios'!AL39+'Por Municipios'!AL46+'Por Municipios'!AL48+'Por Municipios'!AL49+'Por Municipios'!AL50+'Por Municipios'!AL53+'Por Municipios'!AL57+'Por Municipios'!AL58</f>
        <v>2919</v>
      </c>
    </row>
    <row r="9" spans="2:38" ht="14.25">
      <c r="B9" s="32" t="s">
        <v>117</v>
      </c>
      <c r="C9" s="37">
        <v>1149</v>
      </c>
      <c r="D9" s="38">
        <v>1409</v>
      </c>
      <c r="E9" s="38">
        <v>1289</v>
      </c>
      <c r="F9" s="38">
        <v>1664</v>
      </c>
      <c r="G9" s="38">
        <v>1728</v>
      </c>
      <c r="H9" s="38">
        <v>1910</v>
      </c>
      <c r="I9" s="38">
        <v>1866</v>
      </c>
      <c r="J9" s="38">
        <v>2052</v>
      </c>
      <c r="K9" s="38">
        <v>2089</v>
      </c>
      <c r="L9" s="38">
        <v>2111</v>
      </c>
      <c r="M9" s="19">
        <v>2042</v>
      </c>
      <c r="N9" s="39">
        <v>2203</v>
      </c>
      <c r="O9" s="39">
        <v>2040</v>
      </c>
      <c r="P9" s="39">
        <v>1744</v>
      </c>
      <c r="Q9" s="39">
        <v>2191</v>
      </c>
      <c r="R9" s="39">
        <v>2275</v>
      </c>
      <c r="S9" s="39">
        <v>1505</v>
      </c>
      <c r="T9" s="39">
        <v>1176</v>
      </c>
      <c r="U9" s="39">
        <v>1183</v>
      </c>
      <c r="V9" s="39">
        <v>1136</v>
      </c>
      <c r="W9" s="39">
        <v>1217</v>
      </c>
      <c r="X9" s="39">
        <v>1137</v>
      </c>
      <c r="Y9" s="39">
        <v>1130</v>
      </c>
      <c r="Z9" s="39">
        <v>1120</v>
      </c>
      <c r="AA9" s="39">
        <v>1114</v>
      </c>
      <c r="AB9" s="59">
        <f>'[1]ZONAS, x depor,cat. y mun.'!B120</f>
        <v>1028</v>
      </c>
      <c r="AC9" s="181">
        <v>1392</v>
      </c>
      <c r="AD9" s="181">
        <v>1582</v>
      </c>
      <c r="AE9" s="181">
        <v>2000</v>
      </c>
      <c r="AF9" s="229">
        <f>'Por Municipios'!AF5+'Por Municipios'!AF37+'Por Municipios'!AF40</f>
        <v>2261</v>
      </c>
      <c r="AG9" s="229">
        <f>'Por Municipios'!AG5+'Por Municipios'!AG37+'Por Municipios'!AG40</f>
        <v>2016</v>
      </c>
      <c r="AH9" s="235">
        <f>'Por Municipios'!AH5+'Por Municipios'!AH37+'Por Municipios'!AH40</f>
        <v>2201</v>
      </c>
      <c r="AI9" s="235">
        <f>'Por Municipios'!AI5+'Por Municipios'!AI37+'Por Municipios'!AI40</f>
        <v>2123</v>
      </c>
      <c r="AJ9" s="235">
        <f>'Por Municipios'!AJ5+'Por Municipios'!AJ37+'Por Municipios'!AJ40</f>
        <v>525</v>
      </c>
      <c r="AK9" s="235">
        <f>'Por Municipios'!AK5+'Por Municipios'!AK37+'Por Municipios'!AK40</f>
        <v>1631</v>
      </c>
      <c r="AL9" s="235">
        <f>'Por Municipios'!AL5+'Por Municipios'!AL37+'Por Municipios'!AL40</f>
        <v>2406</v>
      </c>
    </row>
    <row r="10" spans="2:38" ht="14.25">
      <c r="B10" s="32" t="s">
        <v>118</v>
      </c>
      <c r="C10" s="37">
        <v>1070</v>
      </c>
      <c r="D10" s="38">
        <v>1091</v>
      </c>
      <c r="E10" s="38">
        <v>1496</v>
      </c>
      <c r="F10" s="38">
        <v>1377</v>
      </c>
      <c r="G10" s="38">
        <v>1513</v>
      </c>
      <c r="H10" s="38">
        <v>1296</v>
      </c>
      <c r="I10" s="38">
        <v>1430</v>
      </c>
      <c r="J10" s="38">
        <v>1285</v>
      </c>
      <c r="K10" s="38">
        <v>2068</v>
      </c>
      <c r="L10" s="38">
        <v>2344</v>
      </c>
      <c r="M10" s="19">
        <v>3039</v>
      </c>
      <c r="N10" s="39">
        <v>2778</v>
      </c>
      <c r="O10" s="39">
        <v>2599</v>
      </c>
      <c r="P10" s="39">
        <v>2769</v>
      </c>
      <c r="Q10" s="39">
        <v>2807</v>
      </c>
      <c r="R10" s="39">
        <v>2808</v>
      </c>
      <c r="S10" s="39">
        <v>2629</v>
      </c>
      <c r="T10" s="39">
        <v>2188</v>
      </c>
      <c r="U10" s="39">
        <v>2189</v>
      </c>
      <c r="V10" s="39">
        <v>2035</v>
      </c>
      <c r="W10" s="39">
        <v>1746</v>
      </c>
      <c r="X10" s="39">
        <v>1668</v>
      </c>
      <c r="Y10" s="39">
        <v>2199</v>
      </c>
      <c r="Z10" s="39">
        <v>2318</v>
      </c>
      <c r="AA10" s="39">
        <v>2356</v>
      </c>
      <c r="AB10" s="59">
        <f>'[1]ZONAS, x depor,cat. y mun.'!B125</f>
        <v>2182</v>
      </c>
      <c r="AC10" s="181">
        <v>2277</v>
      </c>
      <c r="AD10" s="181">
        <v>2438</v>
      </c>
      <c r="AE10" s="181">
        <v>2183</v>
      </c>
      <c r="AF10" s="229">
        <f>'Por Municipios'!AF4+'Por Municipios'!AF15+'Por Municipios'!AF25+'Por Municipios'!AF31+'Por Municipios'!AF75</f>
        <v>2129</v>
      </c>
      <c r="AG10" s="229">
        <f>'Por Municipios'!AG4+'Por Municipios'!AG15+'Por Municipios'!AG25+'Por Municipios'!AG31+'Por Municipios'!AG75</f>
        <v>2275</v>
      </c>
      <c r="AH10" s="235">
        <f>'Por Municipios'!AH4+'Por Municipios'!AH15+'Por Municipios'!AH25+'Por Municipios'!AH31+'Por Municipios'!AH75</f>
        <v>2322</v>
      </c>
      <c r="AI10" s="235">
        <f>'Por Municipios'!AI4+'Por Municipios'!AI15+'Por Municipios'!AI25+'Por Municipios'!AI31+'Por Municipios'!AI75</f>
        <v>1365</v>
      </c>
      <c r="AJ10" s="235">
        <f>'Por Municipios'!AJ4+'Por Municipios'!AJ15+'Por Municipios'!AJ25+'Por Municipios'!AJ31+'Por Municipios'!AJ75</f>
        <v>215</v>
      </c>
      <c r="AK10" s="235">
        <f>'Por Municipios'!AK4+'Por Municipios'!AK15+'Por Municipios'!AK25+'Por Municipios'!AK31+'Por Municipios'!AK75</f>
        <v>421</v>
      </c>
      <c r="AL10" s="235">
        <f>'Por Municipios'!AL4+'Por Municipios'!AL15+'Por Municipios'!AL25+'Por Municipios'!AL31+'Por Municipios'!AL75</f>
        <v>1768</v>
      </c>
    </row>
    <row r="11" spans="2:38" ht="14.25">
      <c r="B11" s="32" t="s">
        <v>95</v>
      </c>
      <c r="C11" s="37">
        <v>1439</v>
      </c>
      <c r="D11" s="38">
        <v>2030</v>
      </c>
      <c r="E11" s="38">
        <v>2043</v>
      </c>
      <c r="F11" s="38">
        <v>2370</v>
      </c>
      <c r="G11" s="38">
        <v>2241</v>
      </c>
      <c r="H11" s="38">
        <v>1950</v>
      </c>
      <c r="I11" s="38">
        <v>1911</v>
      </c>
      <c r="J11" s="38">
        <v>2229</v>
      </c>
      <c r="K11" s="38">
        <v>2387</v>
      </c>
      <c r="L11" s="38">
        <v>2513</v>
      </c>
      <c r="M11" s="19">
        <v>2112</v>
      </c>
      <c r="N11" s="39">
        <v>2772</v>
      </c>
      <c r="O11" s="39">
        <v>2413</v>
      </c>
      <c r="P11" s="39">
        <v>2620</v>
      </c>
      <c r="Q11" s="39">
        <v>3042</v>
      </c>
      <c r="R11" s="39">
        <v>2768</v>
      </c>
      <c r="S11" s="39">
        <v>2398</v>
      </c>
      <c r="T11" s="39">
        <v>2481</v>
      </c>
      <c r="U11" s="39">
        <v>2722</v>
      </c>
      <c r="V11" s="39">
        <v>2404</v>
      </c>
      <c r="W11" s="39">
        <v>2465</v>
      </c>
      <c r="X11" s="39">
        <v>2734</v>
      </c>
      <c r="Y11" s="39">
        <v>2783</v>
      </c>
      <c r="Z11" s="39">
        <v>2649</v>
      </c>
      <c r="AA11" s="39">
        <v>2617</v>
      </c>
      <c r="AB11" s="59">
        <f>'[1]ZONAS, x depor,cat. y mun.'!B129</f>
        <v>3086</v>
      </c>
      <c r="AC11" s="181">
        <v>2865</v>
      </c>
      <c r="AD11" s="181">
        <v>2953</v>
      </c>
      <c r="AE11" s="181">
        <v>4251</v>
      </c>
      <c r="AF11" s="229">
        <f>'Por Municipios'!AF9+'Por Municipios'!AF12+'Por Municipios'!AF16+'Por Municipios'!AF22+'Por Municipios'!AF43+'Por Municipios'!AF45+'Por Municipios'!AF52+'Por Municipios'!AF67+'Por Municipios'!AF68</f>
        <v>3480</v>
      </c>
      <c r="AG11" s="229">
        <f>'Por Municipios'!AG9+'Por Municipios'!AG12+'Por Municipios'!AG16+'Por Municipios'!AG22+'Por Municipios'!AG43+'Por Municipios'!AG45+'Por Municipios'!AG52+'Por Municipios'!AG67+'Por Municipios'!AG68</f>
        <v>3854</v>
      </c>
      <c r="AH11" s="235">
        <f>'Por Municipios'!AH9+'Por Municipios'!AH12+'Por Municipios'!AH16+'Por Municipios'!AH22+'Por Municipios'!AH43+'Por Municipios'!AH45+'Por Municipios'!AH52+'Por Municipios'!AH67+'Por Municipios'!AH68</f>
        <v>3651</v>
      </c>
      <c r="AI11" s="235">
        <f>'Por Municipios'!AI9+'Por Municipios'!AI12+'Por Municipios'!AI16+'Por Municipios'!AI22+'Por Municipios'!AI43+'Por Municipios'!AI45+'Por Municipios'!AI52+'Por Municipios'!AI67+'Por Municipios'!AI68</f>
        <v>2709</v>
      </c>
      <c r="AJ11" s="235">
        <f>'Por Municipios'!AJ9+'Por Municipios'!AJ12+'Por Municipios'!AJ16+'Por Municipios'!AJ22+'Por Municipios'!AJ43+'Por Municipios'!AJ45+'Por Municipios'!AJ52+'Por Municipios'!AJ67+'Por Municipios'!AJ68</f>
        <v>1518</v>
      </c>
      <c r="AK11" s="235">
        <f>'Por Municipios'!AK9+'Por Municipios'!AK12+'Por Municipios'!AK16+'Por Municipios'!AK22+'Por Municipios'!AK43+'Por Municipios'!AK45+'Por Municipios'!AK52+'Por Municipios'!AK67+'Por Municipios'!AK68</f>
        <v>3342</v>
      </c>
      <c r="AL11" s="235">
        <f>'Por Municipios'!AL9+'Por Municipios'!AL12+'Por Municipios'!AL16+'Por Municipios'!AL22+'Por Municipios'!AL43+'Por Municipios'!AL45+'Por Municipios'!AL52+'Por Municipios'!AL67+'Por Municipios'!AL68</f>
        <v>3819</v>
      </c>
    </row>
    <row r="12" spans="2:38" ht="14.25">
      <c r="B12" s="32" t="s">
        <v>119</v>
      </c>
      <c r="C12" s="37">
        <v>1435</v>
      </c>
      <c r="D12" s="38">
        <v>849</v>
      </c>
      <c r="E12" s="38">
        <v>2276</v>
      </c>
      <c r="F12" s="38">
        <v>2599</v>
      </c>
      <c r="G12" s="38">
        <v>2992</v>
      </c>
      <c r="H12" s="38">
        <v>3000</v>
      </c>
      <c r="I12" s="38">
        <v>2844</v>
      </c>
      <c r="J12" s="38">
        <v>3801</v>
      </c>
      <c r="K12" s="38">
        <v>3761</v>
      </c>
      <c r="L12" s="38">
        <v>3350</v>
      </c>
      <c r="M12" s="19">
        <v>3879</v>
      </c>
      <c r="N12" s="39">
        <v>4398</v>
      </c>
      <c r="O12" s="39">
        <v>4454</v>
      </c>
      <c r="P12" s="39">
        <v>2943</v>
      </c>
      <c r="Q12" s="39">
        <v>2719</v>
      </c>
      <c r="R12" s="39">
        <v>2331</v>
      </c>
      <c r="S12" s="39">
        <v>1890</v>
      </c>
      <c r="T12" s="39">
        <v>1746</v>
      </c>
      <c r="U12" s="39">
        <v>1775</v>
      </c>
      <c r="V12" s="39">
        <v>1617</v>
      </c>
      <c r="W12" s="39">
        <v>1573</v>
      </c>
      <c r="X12" s="39">
        <v>1663</v>
      </c>
      <c r="Y12" s="39">
        <v>1572</v>
      </c>
      <c r="Z12" s="39">
        <v>1659</v>
      </c>
      <c r="AA12" s="39">
        <v>1736</v>
      </c>
      <c r="AB12" s="59">
        <f>'[1]ZONAS, x depor,cat. y mun.'!B124</f>
        <v>1571</v>
      </c>
      <c r="AC12" s="181">
        <v>1342</v>
      </c>
      <c r="AD12" s="181">
        <v>1504</v>
      </c>
      <c r="AE12" s="181">
        <v>1566</v>
      </c>
      <c r="AF12" s="229">
        <f>'Por Municipios'!AF18+'Por Municipios'!AF34+'Por Municipios'!AF36+'Por Municipios'!AF63+'Por Municipios'!AF69</f>
        <v>1804</v>
      </c>
      <c r="AG12" s="229">
        <f>'Por Municipios'!AG18+'Por Municipios'!AG34+'Por Municipios'!AG36+'Por Municipios'!AG63+'Por Municipios'!AG69</f>
        <v>1990</v>
      </c>
      <c r="AH12" s="235">
        <f>'Por Municipios'!AH18+'Por Municipios'!AH34+'Por Municipios'!AH36+'Por Municipios'!AH63+'Por Municipios'!AH69</f>
        <v>1878</v>
      </c>
      <c r="AI12" s="235">
        <f>'Por Municipios'!AI18+'Por Municipios'!AI34+'Por Municipios'!AI36+'Por Municipios'!AI63+'Por Municipios'!AI69</f>
        <v>2229</v>
      </c>
      <c r="AJ12" s="235">
        <f>'Por Municipios'!AJ18+'Por Municipios'!AJ34+'Por Municipios'!AJ36+'Por Municipios'!AJ63+'Por Municipios'!AJ69</f>
        <v>1014</v>
      </c>
      <c r="AK12" s="235">
        <f>'Por Municipios'!AK18+'Por Municipios'!AK34+'Por Municipios'!AK36+'Por Municipios'!AK63+'Por Municipios'!AK69</f>
        <v>2197</v>
      </c>
      <c r="AL12" s="235">
        <f>'Por Municipios'!AL18+'Por Municipios'!AL34+'Por Municipios'!AL36+'Por Municipios'!AL63+'Por Municipios'!AL69</f>
        <v>2732</v>
      </c>
    </row>
    <row r="13" spans="2:38" ht="14.25">
      <c r="B13" s="32" t="s">
        <v>33</v>
      </c>
      <c r="C13" s="37">
        <v>2426</v>
      </c>
      <c r="D13" s="38">
        <v>3256</v>
      </c>
      <c r="E13" s="38">
        <v>3308</v>
      </c>
      <c r="F13" s="38">
        <v>3889</v>
      </c>
      <c r="G13" s="38">
        <v>3378</v>
      </c>
      <c r="H13" s="38">
        <v>4145</v>
      </c>
      <c r="I13" s="38">
        <v>4055</v>
      </c>
      <c r="J13" s="38">
        <v>4398</v>
      </c>
      <c r="K13" s="38">
        <v>4727</v>
      </c>
      <c r="L13" s="38">
        <v>4336</v>
      </c>
      <c r="M13" s="19">
        <v>4659</v>
      </c>
      <c r="N13" s="39">
        <v>4236</v>
      </c>
      <c r="O13" s="39">
        <v>4070</v>
      </c>
      <c r="P13" s="39">
        <v>3518</v>
      </c>
      <c r="Q13" s="39">
        <v>3639</v>
      </c>
      <c r="R13" s="39">
        <v>3362</v>
      </c>
      <c r="S13" s="39">
        <v>3229</v>
      </c>
      <c r="T13" s="39">
        <v>3248</v>
      </c>
      <c r="U13" s="39">
        <v>3297</v>
      </c>
      <c r="V13" s="39">
        <v>3270</v>
      </c>
      <c r="W13" s="39">
        <v>3566</v>
      </c>
      <c r="X13" s="39">
        <v>3368</v>
      </c>
      <c r="Y13" s="39">
        <v>3444</v>
      </c>
      <c r="Z13" s="39">
        <v>3748</v>
      </c>
      <c r="AA13" s="39">
        <v>3727</v>
      </c>
      <c r="AB13" s="59">
        <f>'[1]ZONAS, x depor,cat. y mun.'!$AH$14</f>
        <v>3547</v>
      </c>
      <c r="AC13" s="181">
        <v>3910</v>
      </c>
      <c r="AD13" s="181">
        <v>3897</v>
      </c>
      <c r="AE13" s="181">
        <v>4089</v>
      </c>
      <c r="AF13" s="229">
        <f>'Por Municipios'!AF7+'Por Municipios'!AF19+'Por Municipios'!AF23+'Por Municipios'!AF24+'Por Municipios'!AF28+'Por Municipios'!AF33+'Por Municipios'!AF42+'Por Municipios'!AF54+'Por Municipios'!AF71</f>
        <v>4304</v>
      </c>
      <c r="AG13" s="229">
        <f>'Por Municipios'!AG7+'Por Municipios'!AG19+'Por Municipios'!AG23+'Por Municipios'!AG24+'Por Municipios'!AG28+'Por Municipios'!AG33+'Por Municipios'!AG42+'Por Municipios'!AG54+'Por Municipios'!AG71</f>
        <v>4549</v>
      </c>
      <c r="AH13" s="235">
        <f>'Por Municipios'!AH7+'Por Municipios'!AH19+'Por Municipios'!AH23+'Por Municipios'!AH24+'Por Municipios'!AH28+'Por Municipios'!AH33+'Por Municipios'!AH42+'Por Municipios'!AH54+'Por Municipios'!AH71</f>
        <v>4684</v>
      </c>
      <c r="AI13" s="235">
        <f>'Por Municipios'!AI7+'Por Municipios'!AI19+'Por Municipios'!AI23+'Por Municipios'!AI24+'Por Municipios'!AI28+'Por Municipios'!AI33+'Por Municipios'!AI42+'Por Municipios'!AI54+'Por Municipios'!AI71</f>
        <v>4203</v>
      </c>
      <c r="AJ13" s="235">
        <f>'Por Municipios'!AJ7+'Por Municipios'!AJ19+'Por Municipios'!AJ23+'Por Municipios'!AJ24+'Por Municipios'!AJ28+'Por Municipios'!AJ33+'Por Municipios'!AJ42+'Por Municipios'!AJ54+'Por Municipios'!AJ71</f>
        <v>3103</v>
      </c>
      <c r="AK13" s="235">
        <f>'Por Municipios'!AK7+'Por Municipios'!AK19+'Por Municipios'!AK23+'Por Municipios'!AK24+'Por Municipios'!AK28+'Por Municipios'!AK33+'Por Municipios'!AK42+'Por Municipios'!AK54+'Por Municipios'!AK71</f>
        <v>4561</v>
      </c>
      <c r="AL13" s="235">
        <f>'Por Municipios'!AL7+'Por Municipios'!AL19+'Por Municipios'!AL23+'Por Municipios'!AL24+'Por Municipios'!AL28+'Por Municipios'!AL33+'Por Municipios'!AL42+'Por Municipios'!AL54+'Por Municipios'!AL71</f>
        <v>4410</v>
      </c>
    </row>
    <row r="14" spans="2:38" ht="14.25">
      <c r="B14" s="32" t="s">
        <v>74</v>
      </c>
      <c r="C14" s="37">
        <v>1857</v>
      </c>
      <c r="D14" s="38">
        <v>3074</v>
      </c>
      <c r="E14" s="38">
        <v>4635</v>
      </c>
      <c r="F14" s="38">
        <v>6887</v>
      </c>
      <c r="G14" s="38">
        <v>7149</v>
      </c>
      <c r="H14" s="38">
        <v>7104</v>
      </c>
      <c r="I14" s="38">
        <v>7129</v>
      </c>
      <c r="J14" s="38">
        <v>7276</v>
      </c>
      <c r="K14" s="38">
        <v>7784</v>
      </c>
      <c r="L14" s="38">
        <v>7677</v>
      </c>
      <c r="M14" s="19">
        <v>9300</v>
      </c>
      <c r="N14" s="39">
        <v>9526</v>
      </c>
      <c r="O14" s="39">
        <v>9655</v>
      </c>
      <c r="P14" s="39">
        <v>9605</v>
      </c>
      <c r="Q14" s="39">
        <v>9335</v>
      </c>
      <c r="R14" s="39">
        <v>9065</v>
      </c>
      <c r="S14" s="39">
        <v>8900</v>
      </c>
      <c r="T14" s="39">
        <v>7254</v>
      </c>
      <c r="U14" s="39">
        <v>7275</v>
      </c>
      <c r="V14" s="39">
        <v>7609</v>
      </c>
      <c r="W14" s="39">
        <v>8297</v>
      </c>
      <c r="X14" s="39">
        <v>8624</v>
      </c>
      <c r="Y14" s="39">
        <v>8811</v>
      </c>
      <c r="Z14" s="39">
        <v>9007</v>
      </c>
      <c r="AA14" s="39">
        <v>9271</v>
      </c>
      <c r="AB14" s="59">
        <f>'[1]ZONAS, x depor,cat. y mun.'!B128</f>
        <v>9302</v>
      </c>
      <c r="AC14" s="181">
        <v>6399</v>
      </c>
      <c r="AD14" s="181">
        <v>7060</v>
      </c>
      <c r="AE14" s="181">
        <v>7095</v>
      </c>
      <c r="AF14" s="229">
        <f>'Por Municipios'!AF35+'Por Municipios'!AF38+'Por Municipios'!AF41+'Por Municipios'!AF47+'Por Municipios'!AF59+'Por Municipios'!AF60</f>
        <v>7466</v>
      </c>
      <c r="AG14" s="229">
        <f>'Por Municipios'!AG35+'Por Municipios'!AG38+'Por Municipios'!AG41+'Por Municipios'!AG47+'Por Municipios'!AG59+'Por Municipios'!AG60</f>
        <v>7338</v>
      </c>
      <c r="AH14" s="235">
        <f>'Por Municipios'!AH35+'Por Municipios'!AH38+'Por Municipios'!AH41+'Por Municipios'!AH47+'Por Municipios'!AH59+'Por Municipios'!AH60</f>
        <v>7732</v>
      </c>
      <c r="AI14" s="235">
        <f>'Por Municipios'!AI35+'Por Municipios'!AI38+'Por Municipios'!AI41+'Por Municipios'!AI47+'Por Municipios'!AI59+'Por Municipios'!AI60</f>
        <v>7042</v>
      </c>
      <c r="AJ14" s="235">
        <f>'Por Municipios'!AJ35+'Por Municipios'!AJ38+'Por Municipios'!AJ41+'Por Municipios'!AJ47+'Por Municipios'!AJ59+'Por Municipios'!AJ60</f>
        <v>5310</v>
      </c>
      <c r="AK14" s="235">
        <f>'Por Municipios'!AK35+'Por Municipios'!AK38+'Por Municipios'!AK41+'Por Municipios'!AK47+'Por Municipios'!AK59+'Por Municipios'!AK60</f>
        <v>7277</v>
      </c>
      <c r="AL14" s="235">
        <f>'Por Municipios'!AL35+'Por Municipios'!AL38+'Por Municipios'!AL41+'Por Municipios'!AL47+'Por Municipios'!AL59+'Por Municipios'!AL60</f>
        <v>8214</v>
      </c>
    </row>
    <row r="15" spans="2:38" ht="15" thickBot="1">
      <c r="B15" s="40" t="s">
        <v>54</v>
      </c>
      <c r="C15" s="41">
        <v>6319</v>
      </c>
      <c r="D15" s="42">
        <v>10188</v>
      </c>
      <c r="E15" s="42">
        <v>8775</v>
      </c>
      <c r="F15" s="42">
        <v>9834</v>
      </c>
      <c r="G15" s="42">
        <v>9433</v>
      </c>
      <c r="H15" s="42">
        <v>10046</v>
      </c>
      <c r="I15" s="42">
        <v>10224</v>
      </c>
      <c r="J15" s="42">
        <v>10160</v>
      </c>
      <c r="K15" s="42">
        <v>10060</v>
      </c>
      <c r="L15" s="42">
        <v>9801</v>
      </c>
      <c r="M15" s="43">
        <v>10372</v>
      </c>
      <c r="N15" s="44">
        <v>10045</v>
      </c>
      <c r="O15" s="44">
        <v>9712</v>
      </c>
      <c r="P15" s="44">
        <v>9094</v>
      </c>
      <c r="Q15" s="44">
        <v>8933</v>
      </c>
      <c r="R15" s="44">
        <v>8653</v>
      </c>
      <c r="S15" s="44">
        <v>8843</v>
      </c>
      <c r="T15" s="44">
        <v>6769</v>
      </c>
      <c r="U15" s="44">
        <v>7674</v>
      </c>
      <c r="V15" s="44">
        <v>8512</v>
      </c>
      <c r="W15" s="44">
        <v>8623</v>
      </c>
      <c r="X15" s="44">
        <v>8684</v>
      </c>
      <c r="Y15" s="44">
        <v>9630</v>
      </c>
      <c r="Z15" s="44">
        <v>10099</v>
      </c>
      <c r="AA15" s="44">
        <v>10592</v>
      </c>
      <c r="AB15" s="60">
        <f>'[1]ZONAS, x depor,cat. y mun.'!$AH$116</f>
        <v>10019</v>
      </c>
      <c r="AC15" s="181">
        <v>10668</v>
      </c>
      <c r="AD15" s="181">
        <v>9922</v>
      </c>
      <c r="AE15" s="181">
        <v>10440</v>
      </c>
      <c r="AF15" s="229">
        <f>'Por Municipios'!AF17+'Por Municipios'!AF27+'Por Municipios'!AF79</f>
        <v>10768</v>
      </c>
      <c r="AG15" s="229">
        <f>'Por Municipios'!AG17+'Por Municipios'!AG27+'Por Municipios'!AG79</f>
        <v>10965</v>
      </c>
      <c r="AH15" s="236">
        <f>'Por Municipios'!AH17+'Por Municipios'!AH27+'Por Municipios'!AH79</f>
        <v>11301</v>
      </c>
      <c r="AI15" s="236">
        <f>'Por Municipios'!AI17+'Por Municipios'!AI27+'Por Municipios'!AI79</f>
        <v>10000</v>
      </c>
      <c r="AJ15" s="236">
        <f>'Por Municipios'!AJ17+'Por Municipios'!AJ27+'Por Municipios'!AJ79</f>
        <v>5653</v>
      </c>
      <c r="AK15" s="236">
        <f>'Por Municipios'!AK17+'Por Municipios'!AK27+'Por Municipios'!AK79</f>
        <v>9934</v>
      </c>
      <c r="AL15" s="236">
        <f>'Por Municipios'!AL17+'Por Municipios'!AL27+'Por Municipios'!AL79</f>
        <v>10486</v>
      </c>
    </row>
    <row r="16" spans="3:38" ht="14.25" thickBot="1">
      <c r="C16" s="62">
        <f aca="true" t="shared" si="0" ref="C16:N16">SUM(C4:C15)</f>
        <v>20679</v>
      </c>
      <c r="D16" s="62">
        <f t="shared" si="0"/>
        <v>27592</v>
      </c>
      <c r="E16" s="62">
        <f t="shared" si="0"/>
        <v>28103</v>
      </c>
      <c r="F16" s="62">
        <f t="shared" si="0"/>
        <v>33807</v>
      </c>
      <c r="G16" s="62">
        <f t="shared" si="0"/>
        <v>32834</v>
      </c>
      <c r="H16" s="62">
        <f t="shared" si="0"/>
        <v>33282</v>
      </c>
      <c r="I16" s="62">
        <f t="shared" si="0"/>
        <v>33306</v>
      </c>
      <c r="J16" s="62">
        <f t="shared" si="0"/>
        <v>35282</v>
      </c>
      <c r="K16" s="62">
        <f t="shared" si="0"/>
        <v>37190</v>
      </c>
      <c r="L16" s="62">
        <f t="shared" si="0"/>
        <v>36268</v>
      </c>
      <c r="M16" s="45">
        <f t="shared" si="0"/>
        <v>39485</v>
      </c>
      <c r="N16" s="45">
        <f t="shared" si="0"/>
        <v>40098</v>
      </c>
      <c r="O16" s="45">
        <v>38725</v>
      </c>
      <c r="P16" s="45">
        <f>SUM(P5:P15)</f>
        <v>36591</v>
      </c>
      <c r="Q16" s="45">
        <v>37413</v>
      </c>
      <c r="R16" s="45">
        <v>35475</v>
      </c>
      <c r="S16" s="45">
        <v>33524</v>
      </c>
      <c r="T16" s="45">
        <v>29682</v>
      </c>
      <c r="U16" s="45">
        <v>30303</v>
      </c>
      <c r="V16" s="45">
        <v>30587</v>
      </c>
      <c r="W16" s="45">
        <v>31182</v>
      </c>
      <c r="X16" s="45">
        <v>31648</v>
      </c>
      <c r="Y16" s="45">
        <f aca="true" t="shared" si="1" ref="Y16:AG16">SUM(Y5:Y15)</f>
        <v>33552</v>
      </c>
      <c r="Z16" s="45">
        <f t="shared" si="1"/>
        <v>34446</v>
      </c>
      <c r="AA16" s="45">
        <f t="shared" si="1"/>
        <v>35434</v>
      </c>
      <c r="AB16" s="45">
        <f t="shared" si="1"/>
        <v>34814</v>
      </c>
      <c r="AC16" s="45">
        <f t="shared" si="1"/>
        <v>33599</v>
      </c>
      <c r="AD16" s="45">
        <f t="shared" si="1"/>
        <v>33836</v>
      </c>
      <c r="AE16" s="45">
        <f t="shared" si="1"/>
        <v>36752</v>
      </c>
      <c r="AF16" s="45">
        <f t="shared" si="1"/>
        <v>37372</v>
      </c>
      <c r="AG16" s="45">
        <f t="shared" si="1"/>
        <v>38379</v>
      </c>
      <c r="AH16" s="45">
        <f>SUM(AH5:AH15)</f>
        <v>39971</v>
      </c>
      <c r="AI16" s="45">
        <f>SUM(AI5:AI15)</f>
        <v>35152</v>
      </c>
      <c r="AJ16" s="45">
        <f>SUM(AJ5:AJ15)</f>
        <v>19395</v>
      </c>
      <c r="AK16" s="45">
        <f>SUM(AK5:AK15)</f>
        <v>34186</v>
      </c>
      <c r="AL16" s="45">
        <f>SUM(AL5:AL15)</f>
        <v>39436</v>
      </c>
    </row>
    <row r="17" ht="13.5">
      <c r="B17" t="s">
        <v>120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9" scale="33" r:id="rId1"/>
  <headerFooter alignWithMargins="0">
    <oddHeader>&amp;LDIRECCION GENERAL DE DEPORTES &amp;RArea de Actividades Promocion del Deporte
</oddHeader>
    <oddFooter>&amp;CDEPORTE ESCOLAR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80" zoomScaleNormal="80" zoomScalePageLayoutView="0" workbookViewId="0" topLeftCell="A1">
      <pane xSplit="1" ySplit="4" topLeftCell="B1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0" sqref="B180"/>
    </sheetView>
  </sheetViews>
  <sheetFormatPr defaultColWidth="12" defaultRowHeight="13.5"/>
  <cols>
    <col min="1" max="1" width="26.16015625" style="0" bestFit="1" customWidth="1"/>
    <col min="2" max="2" width="15.33203125" style="0" bestFit="1" customWidth="1"/>
    <col min="3" max="3" width="14" style="0" bestFit="1" customWidth="1"/>
    <col min="4" max="4" width="15.33203125" style="0" bestFit="1" customWidth="1"/>
    <col min="5" max="5" width="14" style="0" bestFit="1" customWidth="1"/>
    <col min="6" max="6" width="15.33203125" style="0" bestFit="1" customWidth="1"/>
    <col min="7" max="7" width="14" style="0" bestFit="1" customWidth="1"/>
    <col min="8" max="8" width="15.33203125" style="0" customWidth="1"/>
    <col min="9" max="9" width="14" style="0" bestFit="1" customWidth="1"/>
    <col min="10" max="10" width="15.33203125" style="0" bestFit="1" customWidth="1"/>
    <col min="11" max="11" width="14" style="0" bestFit="1" customWidth="1"/>
    <col min="12" max="12" width="13" style="0" bestFit="1" customWidth="1"/>
  </cols>
  <sheetData>
    <row r="1" spans="1:11" ht="17.25" thickBot="1">
      <c r="A1" s="282" t="s">
        <v>160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</row>
    <row r="2" spans="1:12" ht="24" thickBot="1">
      <c r="A2" s="285" t="s">
        <v>161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4.25" thickBot="1">
      <c r="A3" s="64"/>
      <c r="B3" s="280" t="s">
        <v>151</v>
      </c>
      <c r="C3" s="281"/>
      <c r="D3" s="280" t="s">
        <v>152</v>
      </c>
      <c r="E3" s="281"/>
      <c r="F3" s="280" t="s">
        <v>126</v>
      </c>
      <c r="G3" s="281"/>
      <c r="H3" s="280" t="s">
        <v>127</v>
      </c>
      <c r="I3" s="281"/>
      <c r="J3" s="280" t="s">
        <v>153</v>
      </c>
      <c r="K3" s="281"/>
      <c r="L3" s="286" t="s">
        <v>121</v>
      </c>
    </row>
    <row r="4" spans="1:12" ht="15" thickBot="1">
      <c r="A4" s="91" t="s">
        <v>159</v>
      </c>
      <c r="B4" s="94" t="s">
        <v>130</v>
      </c>
      <c r="C4" s="95" t="s">
        <v>129</v>
      </c>
      <c r="D4" s="94" t="s">
        <v>130</v>
      </c>
      <c r="E4" s="95" t="s">
        <v>129</v>
      </c>
      <c r="F4" s="94" t="s">
        <v>130</v>
      </c>
      <c r="G4" s="95" t="s">
        <v>129</v>
      </c>
      <c r="H4" s="94" t="s">
        <v>130</v>
      </c>
      <c r="I4" s="95" t="s">
        <v>129</v>
      </c>
      <c r="J4" s="94" t="s">
        <v>130</v>
      </c>
      <c r="K4" s="95" t="s">
        <v>129</v>
      </c>
      <c r="L4" s="287"/>
    </row>
    <row r="5" spans="1:12" ht="15.75">
      <c r="A5" s="111" t="s">
        <v>124</v>
      </c>
      <c r="B5" s="266">
        <v>1</v>
      </c>
      <c r="C5" s="267">
        <v>1</v>
      </c>
      <c r="D5" s="268">
        <v>3</v>
      </c>
      <c r="E5" s="267">
        <v>2</v>
      </c>
      <c r="F5" s="267">
        <v>2</v>
      </c>
      <c r="G5" s="267">
        <v>2</v>
      </c>
      <c r="H5" s="267">
        <v>2</v>
      </c>
      <c r="I5" s="267">
        <v>2</v>
      </c>
      <c r="J5" s="268"/>
      <c r="K5" s="269"/>
      <c r="L5" s="67">
        <f aca="true" t="shared" si="0" ref="L5:L12">SUM(B5:K5)</f>
        <v>15</v>
      </c>
    </row>
    <row r="6" spans="1:12" ht="15.75">
      <c r="A6" s="112" t="s">
        <v>250</v>
      </c>
      <c r="B6" s="270"/>
      <c r="C6" s="93"/>
      <c r="D6" s="92"/>
      <c r="E6" s="93">
        <v>1</v>
      </c>
      <c r="F6" s="93"/>
      <c r="G6" s="93">
        <v>1</v>
      </c>
      <c r="H6" s="93"/>
      <c r="I6" s="93"/>
      <c r="J6" s="92"/>
      <c r="K6" s="271"/>
      <c r="L6" s="67">
        <f t="shared" si="0"/>
        <v>2</v>
      </c>
    </row>
    <row r="7" spans="1:12" ht="15.75">
      <c r="A7" s="112" t="s">
        <v>123</v>
      </c>
      <c r="B7" s="272"/>
      <c r="C7" s="65"/>
      <c r="D7" s="65"/>
      <c r="E7" s="66"/>
      <c r="F7" s="65"/>
      <c r="G7" s="66"/>
      <c r="H7" s="66"/>
      <c r="I7" s="66">
        <v>1</v>
      </c>
      <c r="J7" s="65"/>
      <c r="K7" s="273"/>
      <c r="L7" s="68">
        <f t="shared" si="0"/>
        <v>1</v>
      </c>
    </row>
    <row r="8" spans="1:12" ht="15.75">
      <c r="A8" s="112" t="s">
        <v>172</v>
      </c>
      <c r="B8" s="274"/>
      <c r="C8" s="65"/>
      <c r="D8" s="17">
        <v>9</v>
      </c>
      <c r="E8" s="17"/>
      <c r="F8" s="17">
        <v>6</v>
      </c>
      <c r="G8" s="17"/>
      <c r="H8">
        <v>7</v>
      </c>
      <c r="I8" s="65"/>
      <c r="J8" s="65"/>
      <c r="K8" s="273"/>
      <c r="L8" s="68">
        <f t="shared" si="0"/>
        <v>22</v>
      </c>
    </row>
    <row r="9" spans="1:12" ht="15.75">
      <c r="A9" s="112" t="s">
        <v>125</v>
      </c>
      <c r="B9" s="272">
        <v>8</v>
      </c>
      <c r="C9" s="65"/>
      <c r="D9" s="66">
        <v>1</v>
      </c>
      <c r="E9" s="65"/>
      <c r="F9" s="65"/>
      <c r="G9" s="65"/>
      <c r="H9" s="66">
        <v>1</v>
      </c>
      <c r="I9" s="65">
        <v>1</v>
      </c>
      <c r="J9" s="65"/>
      <c r="K9" s="273"/>
      <c r="L9" s="68">
        <f t="shared" si="0"/>
        <v>11</v>
      </c>
    </row>
    <row r="10" spans="1:12" ht="15.75">
      <c r="A10" s="112" t="s">
        <v>122</v>
      </c>
      <c r="B10" s="272"/>
      <c r="C10" s="65"/>
      <c r="D10" s="66"/>
      <c r="E10" s="65"/>
      <c r="F10" s="65"/>
      <c r="G10" s="65">
        <v>3</v>
      </c>
      <c r="H10" s="66"/>
      <c r="I10" s="65">
        <v>1</v>
      </c>
      <c r="J10" s="65"/>
      <c r="K10" s="273"/>
      <c r="L10" s="68">
        <f t="shared" si="0"/>
        <v>4</v>
      </c>
    </row>
    <row r="11" spans="1:12" ht="15.75">
      <c r="A11" s="131" t="s">
        <v>176</v>
      </c>
      <c r="B11" s="272">
        <v>2</v>
      </c>
      <c r="C11" s="65">
        <v>2</v>
      </c>
      <c r="D11" s="66"/>
      <c r="E11" s="65"/>
      <c r="F11" s="65"/>
      <c r="G11" s="65"/>
      <c r="H11" s="66"/>
      <c r="I11" s="65"/>
      <c r="J11" s="65"/>
      <c r="K11" s="273"/>
      <c r="L11" s="68">
        <f t="shared" si="0"/>
        <v>4</v>
      </c>
    </row>
    <row r="12" spans="1:12" ht="16.5" thickBot="1">
      <c r="A12" s="113" t="s">
        <v>128</v>
      </c>
      <c r="B12" s="275"/>
      <c r="C12" s="276"/>
      <c r="D12" s="277"/>
      <c r="E12" s="276"/>
      <c r="F12" s="276"/>
      <c r="G12" s="276"/>
      <c r="H12" s="276"/>
      <c r="I12" s="276"/>
      <c r="J12" s="276"/>
      <c r="K12" s="278"/>
      <c r="L12" s="68">
        <f t="shared" si="0"/>
        <v>0</v>
      </c>
    </row>
    <row r="13" spans="1:12" ht="16.5" thickBot="1">
      <c r="A13" s="106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4.25" thickBot="1">
      <c r="A14" s="107" t="s">
        <v>121</v>
      </c>
      <c r="B14" s="105">
        <f aca="true" t="shared" si="1" ref="B14:K14">SUM(B5:B13)</f>
        <v>11</v>
      </c>
      <c r="C14" s="75">
        <f t="shared" si="1"/>
        <v>3</v>
      </c>
      <c r="D14" s="104">
        <f t="shared" si="1"/>
        <v>13</v>
      </c>
      <c r="E14" s="75">
        <f t="shared" si="1"/>
        <v>3</v>
      </c>
      <c r="F14" s="104">
        <f t="shared" si="1"/>
        <v>8</v>
      </c>
      <c r="G14" s="75">
        <f t="shared" si="1"/>
        <v>6</v>
      </c>
      <c r="H14" s="75">
        <f t="shared" si="1"/>
        <v>10</v>
      </c>
      <c r="I14" s="75">
        <f t="shared" si="1"/>
        <v>5</v>
      </c>
      <c r="J14" s="103">
        <f t="shared" si="1"/>
        <v>0</v>
      </c>
      <c r="K14" s="96">
        <f t="shared" si="1"/>
        <v>0</v>
      </c>
      <c r="L14" s="72">
        <f>SUM(B14:K14)</f>
        <v>59</v>
      </c>
    </row>
    <row r="15" spans="1:12" ht="14.25" thickBot="1">
      <c r="A15" s="108" t="s">
        <v>121</v>
      </c>
      <c r="B15" s="89">
        <f>SUM(B14+C14)</f>
        <v>14</v>
      </c>
      <c r="C15" s="74"/>
      <c r="D15" s="73">
        <f>SUM(D14+E14)</f>
        <v>16</v>
      </c>
      <c r="E15" s="74"/>
      <c r="F15" s="73">
        <f>SUM(F14+G14)</f>
        <v>14</v>
      </c>
      <c r="G15" s="74"/>
      <c r="H15" s="73">
        <f>SUM(H14+I14)</f>
        <v>15</v>
      </c>
      <c r="I15" s="74"/>
      <c r="J15" s="101">
        <f>SUM(J14+K14)</f>
        <v>0</v>
      </c>
      <c r="K15" s="74"/>
      <c r="L15" s="75">
        <f>SUM(L5:L12)</f>
        <v>59</v>
      </c>
    </row>
    <row r="16" ht="14.25" thickBot="1"/>
    <row r="17" spans="1:11" ht="17.25" thickBot="1">
      <c r="A17" s="282" t="s">
        <v>160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5"/>
    </row>
    <row r="18" spans="1:12" ht="24" thickBot="1">
      <c r="A18" s="285" t="s">
        <v>162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</row>
    <row r="19" spans="1:12" ht="14.25" thickBot="1">
      <c r="A19" s="64"/>
      <c r="B19" s="280" t="s">
        <v>151</v>
      </c>
      <c r="C19" s="281"/>
      <c r="D19" s="280" t="s">
        <v>152</v>
      </c>
      <c r="E19" s="281"/>
      <c r="F19" s="280" t="s">
        <v>126</v>
      </c>
      <c r="G19" s="281"/>
      <c r="H19" s="280" t="s">
        <v>127</v>
      </c>
      <c r="I19" s="281"/>
      <c r="J19" s="280" t="s">
        <v>153</v>
      </c>
      <c r="K19" s="281"/>
      <c r="L19" s="286" t="s">
        <v>121</v>
      </c>
    </row>
    <row r="20" spans="1:12" ht="15" thickBot="1">
      <c r="A20" s="91" t="s">
        <v>159</v>
      </c>
      <c r="B20" s="94" t="s">
        <v>130</v>
      </c>
      <c r="C20" s="95" t="s">
        <v>129</v>
      </c>
      <c r="D20" s="94" t="s">
        <v>130</v>
      </c>
      <c r="E20" s="95" t="s">
        <v>129</v>
      </c>
      <c r="F20" s="94" t="s">
        <v>130</v>
      </c>
      <c r="G20" s="95" t="s">
        <v>129</v>
      </c>
      <c r="H20" s="94" t="s">
        <v>130</v>
      </c>
      <c r="I20" s="95" t="s">
        <v>129</v>
      </c>
      <c r="J20" s="94" t="s">
        <v>130</v>
      </c>
      <c r="K20" s="95" t="s">
        <v>129</v>
      </c>
      <c r="L20" s="287"/>
    </row>
    <row r="21" spans="1:12" ht="16.5" thickBot="1">
      <c r="A21" s="111" t="s">
        <v>124</v>
      </c>
      <c r="B21" s="158">
        <v>5</v>
      </c>
      <c r="C21" s="93">
        <v>7</v>
      </c>
      <c r="D21" s="93">
        <v>11</v>
      </c>
      <c r="E21" s="93">
        <v>10</v>
      </c>
      <c r="F21" s="93">
        <v>6</v>
      </c>
      <c r="G21" s="93">
        <v>6</v>
      </c>
      <c r="H21" s="93">
        <v>7</v>
      </c>
      <c r="I21" s="93">
        <v>5</v>
      </c>
      <c r="J21" s="92"/>
      <c r="K21" s="145"/>
      <c r="L21" s="134">
        <f>SUM(B21:K21)</f>
        <v>57</v>
      </c>
    </row>
    <row r="22" spans="1:12" ht="15.75">
      <c r="A22" s="112" t="s">
        <v>250</v>
      </c>
      <c r="B22" s="158">
        <v>1</v>
      </c>
      <c r="C22" s="93">
        <v>2</v>
      </c>
      <c r="D22" s="93">
        <v>1</v>
      </c>
      <c r="E22" s="93">
        <v>2</v>
      </c>
      <c r="F22" s="93">
        <v>1</v>
      </c>
      <c r="G22" s="93"/>
      <c r="H22" s="93"/>
      <c r="I22" s="93"/>
      <c r="J22" s="92"/>
      <c r="K22" s="145"/>
      <c r="L22" s="134">
        <f>SUM(B22:K22)</f>
        <v>7</v>
      </c>
    </row>
    <row r="23" spans="1:12" ht="15.75">
      <c r="A23" s="112" t="s">
        <v>123</v>
      </c>
      <c r="B23" s="109">
        <v>7</v>
      </c>
      <c r="C23" s="65">
        <v>2</v>
      </c>
      <c r="D23" s="66">
        <v>6</v>
      </c>
      <c r="E23" s="65"/>
      <c r="F23" s="66">
        <v>4</v>
      </c>
      <c r="G23" s="65"/>
      <c r="H23" s="66">
        <v>2</v>
      </c>
      <c r="I23" s="66">
        <v>2</v>
      </c>
      <c r="J23" s="65"/>
      <c r="K23" s="133"/>
      <c r="L23" s="135">
        <f aca="true" t="shared" si="2" ref="L23:L28">SUM(B23:K23)</f>
        <v>23</v>
      </c>
    </row>
    <row r="24" spans="1:12" ht="15.75">
      <c r="A24" s="112" t="s">
        <v>172</v>
      </c>
      <c r="B24" s="110"/>
      <c r="C24" s="65"/>
      <c r="D24" s="66">
        <v>32</v>
      </c>
      <c r="E24" s="65"/>
      <c r="F24" s="66">
        <v>24</v>
      </c>
      <c r="G24" s="66"/>
      <c r="H24" s="66">
        <v>22</v>
      </c>
      <c r="I24" s="65"/>
      <c r="J24" s="65"/>
      <c r="K24" s="133"/>
      <c r="L24" s="135">
        <f t="shared" si="2"/>
        <v>78</v>
      </c>
    </row>
    <row r="25" spans="1:12" ht="15.75">
      <c r="A25" s="112" t="s">
        <v>125</v>
      </c>
      <c r="B25" s="109"/>
      <c r="C25" s="65"/>
      <c r="D25" s="66"/>
      <c r="E25" s="65"/>
      <c r="F25" s="66"/>
      <c r="G25" s="65"/>
      <c r="H25" s="65"/>
      <c r="I25" s="65"/>
      <c r="J25" s="65"/>
      <c r="K25" s="133"/>
      <c r="L25" s="135">
        <f t="shared" si="2"/>
        <v>0</v>
      </c>
    </row>
    <row r="26" spans="1:12" ht="15.75">
      <c r="A26" s="112" t="s">
        <v>122</v>
      </c>
      <c r="B26" s="110"/>
      <c r="C26" s="66">
        <v>6</v>
      </c>
      <c r="D26" s="76"/>
      <c r="E26" s="66">
        <v>5</v>
      </c>
      <c r="F26" s="65">
        <v>1</v>
      </c>
      <c r="G26" s="66">
        <v>6</v>
      </c>
      <c r="H26" s="65">
        <v>2</v>
      </c>
      <c r="I26" s="66">
        <v>6</v>
      </c>
      <c r="J26" s="65"/>
      <c r="K26" s="133"/>
      <c r="L26" s="135">
        <f t="shared" si="2"/>
        <v>26</v>
      </c>
    </row>
    <row r="27" spans="1:12" ht="15.75">
      <c r="A27" s="131" t="s">
        <v>176</v>
      </c>
      <c r="B27" s="110">
        <v>2</v>
      </c>
      <c r="C27" s="65"/>
      <c r="D27" s="76">
        <v>2</v>
      </c>
      <c r="E27" s="66"/>
      <c r="F27" s="66">
        <v>2</v>
      </c>
      <c r="G27" s="65"/>
      <c r="H27" s="66">
        <v>2</v>
      </c>
      <c r="I27" s="65"/>
      <c r="J27" s="65"/>
      <c r="K27" s="133"/>
      <c r="L27" s="135">
        <f t="shared" si="2"/>
        <v>8</v>
      </c>
    </row>
    <row r="28" spans="1:12" s="6" customFormat="1" ht="16.5" thickBot="1">
      <c r="A28" s="163" t="s">
        <v>128</v>
      </c>
      <c r="B28" s="110"/>
      <c r="C28" s="65"/>
      <c r="D28" s="76"/>
      <c r="E28" s="65"/>
      <c r="F28" s="65"/>
      <c r="G28" s="65"/>
      <c r="H28" s="65"/>
      <c r="I28" s="65"/>
      <c r="J28" s="65"/>
      <c r="K28" s="133"/>
      <c r="L28" s="88">
        <f t="shared" si="2"/>
        <v>0</v>
      </c>
    </row>
    <row r="29" spans="2:3" ht="14.25" thickBot="1">
      <c r="B29" s="6"/>
      <c r="C29" s="162"/>
    </row>
    <row r="30" spans="1:12" ht="14.25" thickBot="1">
      <c r="A30" s="107" t="s">
        <v>121</v>
      </c>
      <c r="B30" s="97">
        <f aca="true" t="shared" si="3" ref="B30:L30">SUM(B21:B28)</f>
        <v>15</v>
      </c>
      <c r="C30" s="102">
        <f t="shared" si="3"/>
        <v>17</v>
      </c>
      <c r="D30" s="97">
        <f t="shared" si="3"/>
        <v>52</v>
      </c>
      <c r="E30" s="100">
        <f t="shared" si="3"/>
        <v>17</v>
      </c>
      <c r="F30" s="169">
        <f t="shared" si="3"/>
        <v>38</v>
      </c>
      <c r="G30" s="102">
        <f t="shared" si="3"/>
        <v>12</v>
      </c>
      <c r="H30" s="97">
        <f t="shared" si="3"/>
        <v>35</v>
      </c>
      <c r="I30" s="100">
        <f t="shared" si="3"/>
        <v>13</v>
      </c>
      <c r="J30" s="169">
        <f t="shared" si="3"/>
        <v>0</v>
      </c>
      <c r="K30" s="99">
        <f t="shared" si="3"/>
        <v>0</v>
      </c>
      <c r="L30" s="100">
        <f t="shared" si="3"/>
        <v>199</v>
      </c>
    </row>
    <row r="31" spans="1:12" ht="14.25" thickBot="1">
      <c r="A31" s="108" t="s">
        <v>121</v>
      </c>
      <c r="B31" s="288">
        <f>SUM(B30+C30)</f>
        <v>32</v>
      </c>
      <c r="C31" s="296"/>
      <c r="D31" s="288">
        <f>SUM(D30+E30)</f>
        <v>69</v>
      </c>
      <c r="E31" s="289"/>
      <c r="F31" s="296">
        <f>SUM(F30+G30)</f>
        <v>50</v>
      </c>
      <c r="G31" s="296"/>
      <c r="H31" s="288">
        <f>SUM(H30+I30)</f>
        <v>48</v>
      </c>
      <c r="I31" s="289"/>
      <c r="J31" s="296">
        <f>SUM(J30+K30)</f>
        <v>0</v>
      </c>
      <c r="K31" s="289"/>
      <c r="L31" s="75">
        <f>SUM(L21:L28)</f>
        <v>199</v>
      </c>
    </row>
    <row r="33" ht="14.25" thickBot="1"/>
    <row r="34" spans="1:11" ht="17.25" thickBot="1">
      <c r="A34" s="282" t="s">
        <v>160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4"/>
    </row>
    <row r="35" spans="1:12" ht="24" thickBot="1">
      <c r="A35" s="285" t="s">
        <v>163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</row>
    <row r="36" spans="1:12" ht="14.25" thickBot="1">
      <c r="A36" s="64"/>
      <c r="B36" s="280" t="s">
        <v>151</v>
      </c>
      <c r="C36" s="281"/>
      <c r="D36" s="280" t="s">
        <v>152</v>
      </c>
      <c r="E36" s="281"/>
      <c r="F36" s="280" t="s">
        <v>126</v>
      </c>
      <c r="G36" s="281"/>
      <c r="H36" s="280" t="s">
        <v>127</v>
      </c>
      <c r="I36" s="281"/>
      <c r="J36" s="280" t="s">
        <v>153</v>
      </c>
      <c r="K36" s="281"/>
      <c r="L36" s="286" t="s">
        <v>121</v>
      </c>
    </row>
    <row r="37" spans="1:12" ht="15" thickBot="1">
      <c r="A37" s="91" t="s">
        <v>159</v>
      </c>
      <c r="B37" s="94" t="s">
        <v>130</v>
      </c>
      <c r="C37" s="95" t="s">
        <v>129</v>
      </c>
      <c r="D37" s="94" t="s">
        <v>130</v>
      </c>
      <c r="E37" s="95" t="s">
        <v>129</v>
      </c>
      <c r="F37" s="94" t="s">
        <v>130</v>
      </c>
      <c r="G37" s="95" t="s">
        <v>129</v>
      </c>
      <c r="H37" s="94" t="s">
        <v>130</v>
      </c>
      <c r="I37" s="95" t="s">
        <v>129</v>
      </c>
      <c r="J37" s="94" t="s">
        <v>130</v>
      </c>
      <c r="K37" s="95" t="s">
        <v>129</v>
      </c>
      <c r="L37" s="287"/>
    </row>
    <row r="38" spans="1:12" ht="16.5" thickBot="1">
      <c r="A38" s="111" t="s">
        <v>124</v>
      </c>
      <c r="B38" s="158">
        <v>23</v>
      </c>
      <c r="C38" s="93">
        <v>17</v>
      </c>
      <c r="D38" s="93">
        <v>22</v>
      </c>
      <c r="E38" s="93">
        <v>16</v>
      </c>
      <c r="F38" s="93">
        <v>14</v>
      </c>
      <c r="G38" s="93">
        <v>14</v>
      </c>
      <c r="H38" s="93">
        <v>13</v>
      </c>
      <c r="I38" s="93">
        <v>11</v>
      </c>
      <c r="J38" s="92"/>
      <c r="K38" s="145"/>
      <c r="L38" s="134">
        <f aca="true" t="shared" si="4" ref="L38:L45">SUM(B38:K38)</f>
        <v>130</v>
      </c>
    </row>
    <row r="39" spans="1:12" ht="15.75">
      <c r="A39" s="112" t="s">
        <v>250</v>
      </c>
      <c r="B39" s="158">
        <v>3</v>
      </c>
      <c r="C39" s="93">
        <v>2</v>
      </c>
      <c r="D39" s="93">
        <v>4</v>
      </c>
      <c r="E39" s="93">
        <v>8</v>
      </c>
      <c r="F39" s="93">
        <v>9</v>
      </c>
      <c r="G39" s="93">
        <v>7</v>
      </c>
      <c r="H39" s="93"/>
      <c r="I39" s="93"/>
      <c r="J39" s="92"/>
      <c r="K39" s="145"/>
      <c r="L39" s="134">
        <f t="shared" si="4"/>
        <v>33</v>
      </c>
    </row>
    <row r="40" spans="1:12" ht="15.75">
      <c r="A40" s="112" t="s">
        <v>123</v>
      </c>
      <c r="B40" s="109">
        <v>15</v>
      </c>
      <c r="C40" s="66">
        <v>11</v>
      </c>
      <c r="D40" s="66">
        <v>16</v>
      </c>
      <c r="E40" s="66">
        <v>4</v>
      </c>
      <c r="F40" s="66">
        <v>10</v>
      </c>
      <c r="G40" s="66">
        <v>6</v>
      </c>
      <c r="H40" s="66">
        <v>6</v>
      </c>
      <c r="I40" s="66">
        <v>3</v>
      </c>
      <c r="J40" s="65"/>
      <c r="K40" s="133"/>
      <c r="L40" s="135">
        <f t="shared" si="4"/>
        <v>71</v>
      </c>
    </row>
    <row r="41" spans="1:12" ht="15.75">
      <c r="A41" s="112" t="s">
        <v>172</v>
      </c>
      <c r="B41" s="110"/>
      <c r="C41" s="65"/>
      <c r="D41" s="66">
        <v>72</v>
      </c>
      <c r="E41" s="65"/>
      <c r="F41" s="66">
        <v>52</v>
      </c>
      <c r="G41" s="65"/>
      <c r="H41" s="66">
        <v>43</v>
      </c>
      <c r="I41" s="65"/>
      <c r="J41" s="65"/>
      <c r="K41" s="133"/>
      <c r="L41" s="135">
        <f t="shared" si="4"/>
        <v>167</v>
      </c>
    </row>
    <row r="42" spans="1:12" ht="15.75">
      <c r="A42" s="112" t="s">
        <v>125</v>
      </c>
      <c r="B42" s="109">
        <v>40</v>
      </c>
      <c r="C42" s="65"/>
      <c r="D42" s="66"/>
      <c r="E42" s="65"/>
      <c r="F42" s="66">
        <v>1</v>
      </c>
      <c r="G42" s="65"/>
      <c r="H42" s="65">
        <v>1</v>
      </c>
      <c r="I42" s="65">
        <v>1</v>
      </c>
      <c r="J42" s="65"/>
      <c r="K42" s="133"/>
      <c r="L42" s="135">
        <f t="shared" si="4"/>
        <v>43</v>
      </c>
    </row>
    <row r="43" spans="1:12" ht="15.75">
      <c r="A43" s="112" t="s">
        <v>122</v>
      </c>
      <c r="B43" s="161"/>
      <c r="C43" s="78">
        <v>12</v>
      </c>
      <c r="D43" s="76"/>
      <c r="E43" s="66">
        <v>17</v>
      </c>
      <c r="F43" s="65">
        <v>2</v>
      </c>
      <c r="G43" s="66">
        <v>18</v>
      </c>
      <c r="H43" s="66">
        <v>4</v>
      </c>
      <c r="I43" s="66">
        <v>17</v>
      </c>
      <c r="J43" s="65"/>
      <c r="K43" s="133"/>
      <c r="L43" s="136">
        <f t="shared" si="4"/>
        <v>70</v>
      </c>
    </row>
    <row r="44" spans="1:12" s="6" customFormat="1" ht="15.75">
      <c r="A44" s="131" t="s">
        <v>176</v>
      </c>
      <c r="B44" s="109">
        <v>3</v>
      </c>
      <c r="C44" s="66">
        <v>3</v>
      </c>
      <c r="D44" s="76"/>
      <c r="E44" s="66"/>
      <c r="F44" s="66"/>
      <c r="G44" s="65"/>
      <c r="H44" s="66"/>
      <c r="I44" s="65"/>
      <c r="J44" s="65"/>
      <c r="K44" s="133"/>
      <c r="L44" s="135">
        <f t="shared" si="4"/>
        <v>6</v>
      </c>
    </row>
    <row r="45" spans="1:12" s="6" customFormat="1" ht="16.5" thickBot="1">
      <c r="A45" s="132" t="s">
        <v>128</v>
      </c>
      <c r="B45" s="109">
        <v>5</v>
      </c>
      <c r="C45" s="66"/>
      <c r="D45" s="76">
        <v>4</v>
      </c>
      <c r="E45" s="66"/>
      <c r="F45" s="66">
        <v>4</v>
      </c>
      <c r="G45" s="65"/>
      <c r="H45" s="66">
        <v>3</v>
      </c>
      <c r="I45" s="65"/>
      <c r="J45" s="65"/>
      <c r="K45" s="133"/>
      <c r="L45" s="88">
        <f t="shared" si="4"/>
        <v>16</v>
      </c>
    </row>
    <row r="46" spans="2:9" ht="13.5" customHeight="1" thickBot="1">
      <c r="B46" t="s">
        <v>39</v>
      </c>
      <c r="C46" t="s">
        <v>39</v>
      </c>
      <c r="F46" t="s">
        <v>39</v>
      </c>
      <c r="G46" t="s">
        <v>39</v>
      </c>
      <c r="I46" t="s">
        <v>39</v>
      </c>
    </row>
    <row r="47" spans="1:12" ht="14.25" thickBot="1">
      <c r="A47" s="107" t="s">
        <v>121</v>
      </c>
      <c r="B47" s="97">
        <f aca="true" t="shared" si="5" ref="B47:K47">SUM(B38:B46)</f>
        <v>89</v>
      </c>
      <c r="C47" s="102">
        <f t="shared" si="5"/>
        <v>45</v>
      </c>
      <c r="D47" s="97">
        <f t="shared" si="5"/>
        <v>118</v>
      </c>
      <c r="E47" s="100">
        <f t="shared" si="5"/>
        <v>45</v>
      </c>
      <c r="F47" s="169">
        <f t="shared" si="5"/>
        <v>92</v>
      </c>
      <c r="G47" s="102">
        <f t="shared" si="5"/>
        <v>45</v>
      </c>
      <c r="H47" s="97">
        <f t="shared" si="5"/>
        <v>70</v>
      </c>
      <c r="I47" s="100">
        <f t="shared" si="5"/>
        <v>32</v>
      </c>
      <c r="J47" s="169">
        <f t="shared" si="5"/>
        <v>0</v>
      </c>
      <c r="K47" s="99">
        <f t="shared" si="5"/>
        <v>0</v>
      </c>
      <c r="L47" s="75">
        <f>SUM(B47:K47)</f>
        <v>536</v>
      </c>
    </row>
    <row r="48" spans="1:12" ht="14.25" thickBot="1">
      <c r="A48" s="108" t="s">
        <v>121</v>
      </c>
      <c r="B48" s="89">
        <f>SUM(B47+C47)</f>
        <v>134</v>
      </c>
      <c r="C48" s="98"/>
      <c r="D48" s="89">
        <f>SUM(D47+E47)</f>
        <v>163</v>
      </c>
      <c r="E48" s="74"/>
      <c r="F48" s="98">
        <f>SUM(F47+G47)</f>
        <v>137</v>
      </c>
      <c r="G48" s="98"/>
      <c r="H48" s="89">
        <f>SUM(H47+I47)</f>
        <v>102</v>
      </c>
      <c r="I48" s="74"/>
      <c r="J48" s="98">
        <f>SUM(J47+K47)</f>
        <v>0</v>
      </c>
      <c r="K48" s="74"/>
      <c r="L48" s="75">
        <f>SUM(B48:K48)</f>
        <v>536</v>
      </c>
    </row>
    <row r="50" ht="14.25" thickBot="1"/>
    <row r="51" spans="1:11" ht="17.25" thickBot="1">
      <c r="A51" s="282" t="s">
        <v>160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4"/>
    </row>
    <row r="52" spans="1:12" ht="24" thickBot="1">
      <c r="A52" s="285" t="s">
        <v>164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</row>
    <row r="53" spans="1:12" ht="14.25" thickBot="1">
      <c r="A53" s="64"/>
      <c r="B53" s="280" t="s">
        <v>151</v>
      </c>
      <c r="C53" s="281"/>
      <c r="D53" s="280" t="s">
        <v>152</v>
      </c>
      <c r="E53" s="281"/>
      <c r="F53" s="280" t="s">
        <v>126</v>
      </c>
      <c r="G53" s="281"/>
      <c r="H53" s="280" t="s">
        <v>127</v>
      </c>
      <c r="I53" s="281"/>
      <c r="J53" s="280" t="s">
        <v>153</v>
      </c>
      <c r="K53" s="281"/>
      <c r="L53" s="286" t="s">
        <v>121</v>
      </c>
    </row>
    <row r="54" spans="1:12" ht="15" thickBot="1">
      <c r="A54" s="160" t="s">
        <v>159</v>
      </c>
      <c r="B54" s="94" t="s">
        <v>130</v>
      </c>
      <c r="C54" s="95" t="s">
        <v>129</v>
      </c>
      <c r="D54" s="94" t="s">
        <v>130</v>
      </c>
      <c r="E54" s="95" t="s">
        <v>129</v>
      </c>
      <c r="F54" s="94" t="s">
        <v>130</v>
      </c>
      <c r="G54" s="95" t="s">
        <v>129</v>
      </c>
      <c r="H54" s="94" t="s">
        <v>130</v>
      </c>
      <c r="I54" s="95" t="s">
        <v>129</v>
      </c>
      <c r="J54" s="94" t="s">
        <v>130</v>
      </c>
      <c r="K54" s="95" t="s">
        <v>129</v>
      </c>
      <c r="L54" s="287"/>
    </row>
    <row r="55" spans="1:12" ht="16.5" thickBot="1">
      <c r="A55" s="111" t="s">
        <v>124</v>
      </c>
      <c r="B55" s="77"/>
      <c r="C55" s="92"/>
      <c r="D55" s="92">
        <v>2</v>
      </c>
      <c r="E55" s="92"/>
      <c r="F55" s="92">
        <v>1</v>
      </c>
      <c r="G55" s="92"/>
      <c r="H55" s="92"/>
      <c r="I55" s="92"/>
      <c r="J55" s="92"/>
      <c r="K55" s="145"/>
      <c r="L55" s="134">
        <f aca="true" t="shared" si="6" ref="L55:L62">SUM(B55:K55)</f>
        <v>3</v>
      </c>
    </row>
    <row r="56" spans="1:12" ht="15.75">
      <c r="A56" s="112" t="s">
        <v>250</v>
      </c>
      <c r="B56" s="77">
        <v>2</v>
      </c>
      <c r="C56" s="92"/>
      <c r="D56" s="92">
        <v>2</v>
      </c>
      <c r="E56" s="92"/>
      <c r="F56" s="92"/>
      <c r="G56" s="92"/>
      <c r="H56" s="92"/>
      <c r="I56" s="92"/>
      <c r="J56" s="92"/>
      <c r="K56" s="145"/>
      <c r="L56" s="134">
        <f t="shared" si="6"/>
        <v>4</v>
      </c>
    </row>
    <row r="57" spans="1:12" ht="15.75">
      <c r="A57" s="112" t="s">
        <v>123</v>
      </c>
      <c r="B57" s="110"/>
      <c r="C57" s="65"/>
      <c r="D57" s="65"/>
      <c r="E57" s="65"/>
      <c r="F57" s="65"/>
      <c r="G57" s="65"/>
      <c r="H57" s="65"/>
      <c r="I57" s="65"/>
      <c r="J57" s="65"/>
      <c r="K57" s="133"/>
      <c r="L57" s="135">
        <f t="shared" si="6"/>
        <v>0</v>
      </c>
    </row>
    <row r="58" spans="1:12" ht="15.75">
      <c r="A58" s="112" t="s">
        <v>172</v>
      </c>
      <c r="B58" s="110"/>
      <c r="C58" s="65"/>
      <c r="D58" s="66">
        <v>3</v>
      </c>
      <c r="E58" s="65"/>
      <c r="F58" s="66">
        <v>2</v>
      </c>
      <c r="G58" s="65"/>
      <c r="H58" s="66">
        <v>2</v>
      </c>
      <c r="I58" s="65"/>
      <c r="J58" s="65"/>
      <c r="K58" s="133"/>
      <c r="L58" s="135">
        <f t="shared" si="6"/>
        <v>7</v>
      </c>
    </row>
    <row r="59" spans="1:12" ht="15.75">
      <c r="A59" s="112" t="s">
        <v>125</v>
      </c>
      <c r="B59" s="110">
        <v>1</v>
      </c>
      <c r="C59" s="65"/>
      <c r="D59" s="66"/>
      <c r="E59" s="65"/>
      <c r="F59" s="65"/>
      <c r="G59" s="65"/>
      <c r="H59" s="65"/>
      <c r="I59" s="65"/>
      <c r="J59" s="65"/>
      <c r="K59" s="133"/>
      <c r="L59" s="135">
        <f t="shared" si="6"/>
        <v>1</v>
      </c>
    </row>
    <row r="60" spans="1:12" ht="16.5" customHeight="1">
      <c r="A60" s="112" t="s">
        <v>122</v>
      </c>
      <c r="B60" s="110"/>
      <c r="C60" s="65"/>
      <c r="D60" s="65"/>
      <c r="E60" s="65"/>
      <c r="F60" s="65"/>
      <c r="G60" s="65"/>
      <c r="H60" s="65"/>
      <c r="I60" s="65"/>
      <c r="J60" s="65"/>
      <c r="K60" s="133"/>
      <c r="L60" s="136">
        <f t="shared" si="6"/>
        <v>0</v>
      </c>
    </row>
    <row r="61" spans="1:12" ht="16.5" customHeight="1">
      <c r="A61" s="112" t="s">
        <v>176</v>
      </c>
      <c r="B61" s="110">
        <v>2</v>
      </c>
      <c r="C61" s="65"/>
      <c r="D61" s="65"/>
      <c r="E61" s="65"/>
      <c r="F61" s="65"/>
      <c r="G61" s="65"/>
      <c r="H61" s="65"/>
      <c r="I61" s="65"/>
      <c r="J61" s="65"/>
      <c r="K61" s="133"/>
      <c r="L61" s="136">
        <f t="shared" si="6"/>
        <v>2</v>
      </c>
    </row>
    <row r="62" spans="1:12" s="6" customFormat="1" ht="16.5" thickBot="1">
      <c r="A62" s="113" t="s">
        <v>128</v>
      </c>
      <c r="B62" s="109">
        <v>4</v>
      </c>
      <c r="C62" s="65"/>
      <c r="D62" s="65">
        <v>2</v>
      </c>
      <c r="E62" s="65"/>
      <c r="F62" s="65">
        <v>1</v>
      </c>
      <c r="G62" s="65"/>
      <c r="H62" s="65">
        <v>1</v>
      </c>
      <c r="I62" s="65"/>
      <c r="J62" s="65"/>
      <c r="K62" s="133"/>
      <c r="L62" s="88">
        <f t="shared" si="6"/>
        <v>8</v>
      </c>
    </row>
    <row r="63" spans="2:8" ht="14.25" thickBot="1">
      <c r="B63" t="s">
        <v>39</v>
      </c>
      <c r="D63" t="s">
        <v>39</v>
      </c>
      <c r="F63" t="s">
        <v>39</v>
      </c>
      <c r="H63" t="s">
        <v>39</v>
      </c>
    </row>
    <row r="64" spans="1:12" ht="14.25" thickBot="1">
      <c r="A64" s="107" t="s">
        <v>121</v>
      </c>
      <c r="B64" s="97">
        <f aca="true" t="shared" si="7" ref="B64:K64">SUM(B55:B62)</f>
        <v>9</v>
      </c>
      <c r="C64" s="102">
        <f t="shared" si="7"/>
        <v>0</v>
      </c>
      <c r="D64" s="97">
        <f t="shared" si="7"/>
        <v>9</v>
      </c>
      <c r="E64" s="100">
        <f t="shared" si="7"/>
        <v>0</v>
      </c>
      <c r="F64" s="169">
        <f t="shared" si="7"/>
        <v>4</v>
      </c>
      <c r="G64" s="102">
        <f t="shared" si="7"/>
        <v>0</v>
      </c>
      <c r="H64" s="97">
        <f t="shared" si="7"/>
        <v>3</v>
      </c>
      <c r="I64" s="100">
        <f t="shared" si="7"/>
        <v>0</v>
      </c>
      <c r="J64" s="169">
        <f t="shared" si="7"/>
        <v>0</v>
      </c>
      <c r="K64" s="100">
        <f t="shared" si="7"/>
        <v>0</v>
      </c>
      <c r="L64" s="75">
        <f>SUM(B64:K64)</f>
        <v>25</v>
      </c>
    </row>
    <row r="65" spans="1:12" ht="14.25" thickBot="1">
      <c r="A65" s="108" t="s">
        <v>121</v>
      </c>
      <c r="B65" s="89">
        <f>SUM(B64+C64)</f>
        <v>9</v>
      </c>
      <c r="C65" s="98"/>
      <c r="D65" s="89">
        <f>SUM(D64+E64)</f>
        <v>9</v>
      </c>
      <c r="E65" s="74"/>
      <c r="F65" s="98">
        <f>SUM(F64+G64)</f>
        <v>4</v>
      </c>
      <c r="G65" s="98"/>
      <c r="H65" s="89">
        <f>SUM(H64+I64)</f>
        <v>3</v>
      </c>
      <c r="I65" s="74"/>
      <c r="J65" s="98">
        <f>SUM(J64+K64)</f>
        <v>0</v>
      </c>
      <c r="K65" s="74"/>
      <c r="L65" s="75">
        <f>SUM(L55:L62)</f>
        <v>25</v>
      </c>
    </row>
    <row r="67" ht="14.25" thickBot="1"/>
    <row r="68" spans="1:11" ht="17.25" thickBot="1">
      <c r="A68" s="282" t="s">
        <v>160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4"/>
    </row>
    <row r="69" spans="1:12" ht="24" thickBot="1">
      <c r="A69" s="285" t="s">
        <v>165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</row>
    <row r="70" spans="1:12" ht="14.25" thickBot="1">
      <c r="A70" s="64"/>
      <c r="B70" s="280" t="s">
        <v>151</v>
      </c>
      <c r="C70" s="281"/>
      <c r="D70" s="280" t="s">
        <v>152</v>
      </c>
      <c r="E70" s="281"/>
      <c r="F70" s="280" t="s">
        <v>126</v>
      </c>
      <c r="G70" s="281"/>
      <c r="H70" s="280" t="s">
        <v>127</v>
      </c>
      <c r="I70" s="281"/>
      <c r="J70" s="280" t="s">
        <v>153</v>
      </c>
      <c r="K70" s="281"/>
      <c r="L70" s="286" t="s">
        <v>121</v>
      </c>
    </row>
    <row r="71" spans="1:12" ht="15" thickBot="1">
      <c r="A71" s="91" t="s">
        <v>159</v>
      </c>
      <c r="B71" s="94" t="s">
        <v>130</v>
      </c>
      <c r="C71" s="95" t="s">
        <v>129</v>
      </c>
      <c r="D71" s="94" t="s">
        <v>130</v>
      </c>
      <c r="E71" s="95" t="s">
        <v>129</v>
      </c>
      <c r="F71" s="94" t="s">
        <v>130</v>
      </c>
      <c r="G71" s="95" t="s">
        <v>129</v>
      </c>
      <c r="H71" s="94" t="s">
        <v>130</v>
      </c>
      <c r="I71" s="95" t="s">
        <v>129</v>
      </c>
      <c r="J71" s="94" t="s">
        <v>130</v>
      </c>
      <c r="K71" s="95" t="s">
        <v>129</v>
      </c>
      <c r="L71" s="287"/>
    </row>
    <row r="72" spans="1:12" ht="16.5" thickBot="1">
      <c r="A72" s="111" t="s">
        <v>124</v>
      </c>
      <c r="B72" s="158">
        <v>2</v>
      </c>
      <c r="C72" s="92"/>
      <c r="D72" s="93">
        <v>2</v>
      </c>
      <c r="E72" s="92">
        <v>3</v>
      </c>
      <c r="F72" s="93">
        <v>2</v>
      </c>
      <c r="G72" s="93">
        <v>3</v>
      </c>
      <c r="H72" s="93">
        <v>2</v>
      </c>
      <c r="I72" s="93">
        <v>2</v>
      </c>
      <c r="J72" s="92"/>
      <c r="K72" s="145"/>
      <c r="L72" s="134">
        <f aca="true" t="shared" si="8" ref="L72:L79">SUM(B72:K72)</f>
        <v>16</v>
      </c>
    </row>
    <row r="73" spans="1:12" ht="15.75">
      <c r="A73" s="112" t="s">
        <v>250</v>
      </c>
      <c r="B73" s="158"/>
      <c r="C73" s="92"/>
      <c r="D73" s="93">
        <v>1</v>
      </c>
      <c r="E73" s="92"/>
      <c r="F73" s="93">
        <v>3</v>
      </c>
      <c r="G73" s="93">
        <v>3</v>
      </c>
      <c r="H73" s="93"/>
      <c r="I73" s="93"/>
      <c r="J73" s="92"/>
      <c r="K73" s="145"/>
      <c r="L73" s="134">
        <f t="shared" si="8"/>
        <v>7</v>
      </c>
    </row>
    <row r="74" spans="1:12" ht="15.75">
      <c r="A74" s="112" t="s">
        <v>123</v>
      </c>
      <c r="B74" s="110"/>
      <c r="C74" s="65"/>
      <c r="D74" s="66"/>
      <c r="E74" s="65"/>
      <c r="F74" s="65"/>
      <c r="G74" s="65"/>
      <c r="H74" s="65"/>
      <c r="I74" s="66"/>
      <c r="J74" s="65"/>
      <c r="K74" s="133"/>
      <c r="L74" s="159">
        <f t="shared" si="8"/>
        <v>0</v>
      </c>
    </row>
    <row r="75" spans="1:12" ht="15.75">
      <c r="A75" s="112" t="s">
        <v>173</v>
      </c>
      <c r="B75" s="110"/>
      <c r="C75" s="65"/>
      <c r="D75" s="66">
        <v>17</v>
      </c>
      <c r="E75" s="65"/>
      <c r="F75" s="66">
        <v>12</v>
      </c>
      <c r="G75" s="65"/>
      <c r="H75" s="65">
        <v>10</v>
      </c>
      <c r="I75" s="66"/>
      <c r="J75" s="65"/>
      <c r="K75" s="133"/>
      <c r="L75" s="159">
        <f t="shared" si="8"/>
        <v>39</v>
      </c>
    </row>
    <row r="76" spans="1:12" ht="15.75">
      <c r="A76" s="112" t="s">
        <v>125</v>
      </c>
      <c r="B76" s="110">
        <v>1</v>
      </c>
      <c r="C76" s="65"/>
      <c r="D76" s="65">
        <v>1</v>
      </c>
      <c r="E76" s="65">
        <v>1</v>
      </c>
      <c r="F76" s="65">
        <v>1</v>
      </c>
      <c r="G76" s="65"/>
      <c r="H76" s="66">
        <v>1</v>
      </c>
      <c r="I76" s="66"/>
      <c r="J76" s="65"/>
      <c r="K76" s="133"/>
      <c r="L76" s="159">
        <f t="shared" si="8"/>
        <v>5</v>
      </c>
    </row>
    <row r="77" spans="1:12" ht="15.75">
      <c r="A77" s="112" t="s">
        <v>122</v>
      </c>
      <c r="B77" s="110"/>
      <c r="C77" s="65"/>
      <c r="D77" s="69"/>
      <c r="E77" s="65"/>
      <c r="F77" s="65"/>
      <c r="G77" s="65"/>
      <c r="H77" s="66"/>
      <c r="I77" s="66"/>
      <c r="J77" s="65"/>
      <c r="K77" s="133"/>
      <c r="L77" s="159">
        <f t="shared" si="8"/>
        <v>0</v>
      </c>
    </row>
    <row r="78" spans="1:12" ht="15.75">
      <c r="A78" s="112" t="s">
        <v>176</v>
      </c>
      <c r="B78" s="109">
        <v>2</v>
      </c>
      <c r="C78" s="65">
        <v>2</v>
      </c>
      <c r="D78" s="69"/>
      <c r="E78" s="65"/>
      <c r="F78" s="65"/>
      <c r="G78" s="65"/>
      <c r="H78" s="66"/>
      <c r="I78" s="66"/>
      <c r="J78" s="65"/>
      <c r="K78" s="133"/>
      <c r="L78" s="135">
        <f t="shared" si="8"/>
        <v>4</v>
      </c>
    </row>
    <row r="79" spans="1:12" ht="16.5" thickBot="1">
      <c r="A79" s="132" t="s">
        <v>128</v>
      </c>
      <c r="B79" s="109"/>
      <c r="C79" s="65"/>
      <c r="D79" s="69"/>
      <c r="E79" s="65"/>
      <c r="F79" s="65"/>
      <c r="G79" s="65"/>
      <c r="H79" s="66"/>
      <c r="I79" s="66"/>
      <c r="J79" s="65"/>
      <c r="K79" s="133"/>
      <c r="L79" s="88">
        <f t="shared" si="8"/>
        <v>0</v>
      </c>
    </row>
    <row r="80" spans="2:9" ht="14.25" thickBot="1">
      <c r="B80" t="s">
        <v>39</v>
      </c>
      <c r="D80" t="s">
        <v>39</v>
      </c>
      <c r="E80" t="s">
        <v>39</v>
      </c>
      <c r="F80" t="s">
        <v>39</v>
      </c>
      <c r="G80" t="s">
        <v>39</v>
      </c>
      <c r="H80" t="s">
        <v>39</v>
      </c>
      <c r="I80" t="s">
        <v>39</v>
      </c>
    </row>
    <row r="81" spans="1:12" ht="14.25" thickBot="1">
      <c r="A81" s="107" t="s">
        <v>121</v>
      </c>
      <c r="B81" s="97">
        <f aca="true" t="shared" si="9" ref="B81:K81">SUM(B72:B80)</f>
        <v>5</v>
      </c>
      <c r="C81" s="102">
        <f t="shared" si="9"/>
        <v>2</v>
      </c>
      <c r="D81" s="97">
        <f t="shared" si="9"/>
        <v>21</v>
      </c>
      <c r="E81" s="100">
        <f t="shared" si="9"/>
        <v>4</v>
      </c>
      <c r="F81" s="169">
        <f t="shared" si="9"/>
        <v>18</v>
      </c>
      <c r="G81" s="102">
        <f t="shared" si="9"/>
        <v>6</v>
      </c>
      <c r="H81" s="97">
        <f t="shared" si="9"/>
        <v>13</v>
      </c>
      <c r="I81" s="100">
        <f t="shared" si="9"/>
        <v>2</v>
      </c>
      <c r="J81" s="169">
        <f t="shared" si="9"/>
        <v>0</v>
      </c>
      <c r="K81" s="100">
        <f t="shared" si="9"/>
        <v>0</v>
      </c>
      <c r="L81" s="75">
        <f>SUM(B81:K81)</f>
        <v>71</v>
      </c>
    </row>
    <row r="82" spans="1:12" ht="14.25" thickBot="1">
      <c r="A82" s="108" t="s">
        <v>121</v>
      </c>
      <c r="B82" s="89">
        <f>SUM(B81+C81)</f>
        <v>7</v>
      </c>
      <c r="C82" s="98"/>
      <c r="D82" s="89">
        <f>SUM(D81+E81)</f>
        <v>25</v>
      </c>
      <c r="E82" s="74"/>
      <c r="F82" s="98">
        <f>SUM(F81+G81)</f>
        <v>24</v>
      </c>
      <c r="G82" s="98"/>
      <c r="H82" s="89">
        <f>SUM(H81+I81)</f>
        <v>15</v>
      </c>
      <c r="I82" s="74"/>
      <c r="J82" s="98">
        <f>SUM(J81+K81)</f>
        <v>0</v>
      </c>
      <c r="K82" s="74"/>
      <c r="L82" s="75">
        <f>SUM(L72:L79)</f>
        <v>71</v>
      </c>
    </row>
    <row r="84" ht="14.25" thickBot="1"/>
    <row r="85" spans="1:11" ht="17.25" thickBot="1">
      <c r="A85" s="282" t="s">
        <v>160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4"/>
    </row>
    <row r="86" spans="1:12" ht="24" thickBot="1">
      <c r="A86" s="285" t="s">
        <v>166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</row>
    <row r="87" spans="1:12" ht="14.25" thickBot="1">
      <c r="A87" s="64"/>
      <c r="B87" s="280" t="s">
        <v>151</v>
      </c>
      <c r="C87" s="281"/>
      <c r="D87" s="280" t="s">
        <v>152</v>
      </c>
      <c r="E87" s="281"/>
      <c r="F87" s="280" t="s">
        <v>126</v>
      </c>
      <c r="G87" s="281"/>
      <c r="H87" s="280" t="s">
        <v>127</v>
      </c>
      <c r="I87" s="281"/>
      <c r="J87" s="280" t="s">
        <v>153</v>
      </c>
      <c r="K87" s="281"/>
      <c r="L87" s="286" t="s">
        <v>121</v>
      </c>
    </row>
    <row r="88" spans="1:12" ht="15" thickBot="1">
      <c r="A88" s="91" t="s">
        <v>159</v>
      </c>
      <c r="B88" s="94" t="s">
        <v>130</v>
      </c>
      <c r="C88" s="95" t="s">
        <v>129</v>
      </c>
      <c r="D88" s="94" t="s">
        <v>130</v>
      </c>
      <c r="E88" s="95" t="s">
        <v>129</v>
      </c>
      <c r="F88" s="94" t="s">
        <v>130</v>
      </c>
      <c r="G88" s="95" t="s">
        <v>129</v>
      </c>
      <c r="H88" s="94" t="s">
        <v>130</v>
      </c>
      <c r="I88" s="95" t="s">
        <v>129</v>
      </c>
      <c r="J88" s="94" t="s">
        <v>130</v>
      </c>
      <c r="K88" s="95" t="s">
        <v>129</v>
      </c>
      <c r="L88" s="287"/>
    </row>
    <row r="89" spans="1:12" ht="16.5" thickBot="1">
      <c r="A89" s="111" t="s">
        <v>124</v>
      </c>
      <c r="B89" s="153">
        <v>2</v>
      </c>
      <c r="C89" s="151">
        <v>2</v>
      </c>
      <c r="D89" s="152">
        <v>2</v>
      </c>
      <c r="E89" s="152">
        <v>3</v>
      </c>
      <c r="F89" s="152">
        <v>2</v>
      </c>
      <c r="G89" s="151">
        <v>2</v>
      </c>
      <c r="H89" s="152">
        <v>1</v>
      </c>
      <c r="I89" s="152">
        <v>2</v>
      </c>
      <c r="J89" s="151"/>
      <c r="K89" s="156"/>
      <c r="L89" s="134">
        <f aca="true" t="shared" si="10" ref="L89:L96">SUM(B89:K89)</f>
        <v>16</v>
      </c>
    </row>
    <row r="90" spans="1:12" ht="15.75">
      <c r="A90" s="112" t="s">
        <v>250</v>
      </c>
      <c r="B90" s="153">
        <v>1</v>
      </c>
      <c r="C90" s="151"/>
      <c r="D90" s="152">
        <v>1</v>
      </c>
      <c r="E90" s="152">
        <v>4</v>
      </c>
      <c r="F90" s="152">
        <v>2</v>
      </c>
      <c r="G90" s="151">
        <v>3</v>
      </c>
      <c r="H90" s="152"/>
      <c r="I90" s="152"/>
      <c r="J90" s="151"/>
      <c r="K90" s="156"/>
      <c r="L90" s="134">
        <f t="shared" si="10"/>
        <v>11</v>
      </c>
    </row>
    <row r="91" spans="1:12" ht="15.75">
      <c r="A91" s="112" t="s">
        <v>123</v>
      </c>
      <c r="B91" s="154"/>
      <c r="C91" s="79"/>
      <c r="D91" s="79"/>
      <c r="E91" s="79"/>
      <c r="F91" s="79"/>
      <c r="G91" s="79"/>
      <c r="H91" s="79"/>
      <c r="I91" s="80"/>
      <c r="J91" s="79"/>
      <c r="K91" s="157"/>
      <c r="L91" s="135">
        <f t="shared" si="10"/>
        <v>0</v>
      </c>
    </row>
    <row r="92" spans="1:12" ht="15.75">
      <c r="A92" s="112" t="s">
        <v>172</v>
      </c>
      <c r="B92" s="154"/>
      <c r="C92" s="79"/>
      <c r="D92" s="80">
        <v>6</v>
      </c>
      <c r="E92" s="79"/>
      <c r="F92" s="80">
        <v>6</v>
      </c>
      <c r="G92" s="79"/>
      <c r="H92" s="80">
        <v>3</v>
      </c>
      <c r="I92" s="80"/>
      <c r="J92" s="79"/>
      <c r="K92" s="157"/>
      <c r="L92" s="135">
        <f t="shared" si="10"/>
        <v>15</v>
      </c>
    </row>
    <row r="93" spans="1:12" ht="15.75">
      <c r="A93" s="112" t="s">
        <v>125</v>
      </c>
      <c r="B93" s="155"/>
      <c r="C93" s="79"/>
      <c r="D93" s="80"/>
      <c r="E93" s="79"/>
      <c r="F93" s="80"/>
      <c r="G93" s="79"/>
      <c r="H93" s="80"/>
      <c r="I93" s="80"/>
      <c r="J93" s="79"/>
      <c r="K93" s="157"/>
      <c r="L93" s="135">
        <f t="shared" si="10"/>
        <v>0</v>
      </c>
    </row>
    <row r="94" spans="1:12" ht="15.75">
      <c r="A94" s="112" t="s">
        <v>122</v>
      </c>
      <c r="B94" s="154"/>
      <c r="C94" s="79"/>
      <c r="D94" s="79"/>
      <c r="E94" s="79"/>
      <c r="F94" s="80"/>
      <c r="G94" s="79"/>
      <c r="H94" s="80"/>
      <c r="I94" s="80"/>
      <c r="J94" s="79"/>
      <c r="K94" s="157"/>
      <c r="L94" s="136">
        <f t="shared" si="10"/>
        <v>0</v>
      </c>
    </row>
    <row r="95" spans="1:12" ht="15.75">
      <c r="A95" s="112" t="s">
        <v>176</v>
      </c>
      <c r="B95" s="155"/>
      <c r="C95" s="79"/>
      <c r="D95" s="79"/>
      <c r="E95" s="79"/>
      <c r="F95" s="80"/>
      <c r="G95" s="79"/>
      <c r="H95" s="80"/>
      <c r="I95" s="80"/>
      <c r="J95" s="79"/>
      <c r="K95" s="157"/>
      <c r="L95" s="135">
        <f t="shared" si="10"/>
        <v>0</v>
      </c>
    </row>
    <row r="96" spans="1:12" ht="16.5" thickBot="1">
      <c r="A96" s="132" t="s">
        <v>128</v>
      </c>
      <c r="B96" s="155"/>
      <c r="C96" s="79"/>
      <c r="D96" s="79"/>
      <c r="E96" s="79"/>
      <c r="F96" s="80"/>
      <c r="G96" s="79"/>
      <c r="H96" s="80"/>
      <c r="I96" s="80"/>
      <c r="J96" s="79"/>
      <c r="K96" s="157"/>
      <c r="L96" s="88">
        <f t="shared" si="10"/>
        <v>0</v>
      </c>
    </row>
    <row r="97" ht="14.25" thickBot="1">
      <c r="A97" s="55"/>
    </row>
    <row r="98" spans="1:12" ht="14.25" thickBot="1">
      <c r="A98" s="107" t="s">
        <v>121</v>
      </c>
      <c r="B98" s="97">
        <f aca="true" t="shared" si="11" ref="B98:L98">SUM(B89:B96)</f>
        <v>3</v>
      </c>
      <c r="C98" s="102">
        <f t="shared" si="11"/>
        <v>2</v>
      </c>
      <c r="D98" s="97">
        <f t="shared" si="11"/>
        <v>9</v>
      </c>
      <c r="E98" s="100">
        <f t="shared" si="11"/>
        <v>7</v>
      </c>
      <c r="F98" s="169">
        <f t="shared" si="11"/>
        <v>10</v>
      </c>
      <c r="G98" s="102">
        <f t="shared" si="11"/>
        <v>5</v>
      </c>
      <c r="H98" s="97">
        <f t="shared" si="11"/>
        <v>4</v>
      </c>
      <c r="I98" s="100">
        <f t="shared" si="11"/>
        <v>2</v>
      </c>
      <c r="J98" s="169">
        <f t="shared" si="11"/>
        <v>0</v>
      </c>
      <c r="K98" s="99">
        <f t="shared" si="11"/>
        <v>0</v>
      </c>
      <c r="L98" s="100">
        <f t="shared" si="11"/>
        <v>42</v>
      </c>
    </row>
    <row r="99" spans="1:12" ht="14.25" thickBot="1">
      <c r="A99" s="108" t="s">
        <v>121</v>
      </c>
      <c r="B99" s="89">
        <f>SUM(B98+C98)</f>
        <v>5</v>
      </c>
      <c r="C99" s="98"/>
      <c r="D99" s="89">
        <f>SUM(D98+E98)</f>
        <v>16</v>
      </c>
      <c r="E99" s="74"/>
      <c r="F99" s="98">
        <f>SUM(F98+G98)</f>
        <v>15</v>
      </c>
      <c r="G99" s="98"/>
      <c r="H99" s="288">
        <f>SUM(H98+I98)</f>
        <v>6</v>
      </c>
      <c r="I99" s="289"/>
      <c r="J99" s="98">
        <f>SUM(J98+K98)</f>
        <v>0</v>
      </c>
      <c r="K99" s="74"/>
      <c r="L99" s="75">
        <f>SUM(L89:L96)</f>
        <v>42</v>
      </c>
    </row>
    <row r="101" ht="14.25" thickBot="1"/>
    <row r="102" spans="1:11" ht="17.25" thickBot="1">
      <c r="A102" s="282" t="s">
        <v>160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4"/>
    </row>
    <row r="103" spans="1:12" ht="24" thickBot="1">
      <c r="A103" s="285" t="s">
        <v>167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</row>
    <row r="104" spans="1:12" ht="14.25" thickBot="1">
      <c r="A104" s="64"/>
      <c r="B104" s="280" t="s">
        <v>151</v>
      </c>
      <c r="C104" s="281"/>
      <c r="D104" s="280" t="s">
        <v>152</v>
      </c>
      <c r="E104" s="281"/>
      <c r="F104" s="280" t="s">
        <v>126</v>
      </c>
      <c r="G104" s="281"/>
      <c r="H104" s="280" t="s">
        <v>127</v>
      </c>
      <c r="I104" s="281"/>
      <c r="J104" s="280" t="s">
        <v>153</v>
      </c>
      <c r="K104" s="281"/>
      <c r="L104" s="286" t="s">
        <v>121</v>
      </c>
    </row>
    <row r="105" spans="1:12" ht="15" thickBot="1">
      <c r="A105" s="91" t="s">
        <v>159</v>
      </c>
      <c r="B105" s="94" t="s">
        <v>130</v>
      </c>
      <c r="C105" s="95" t="s">
        <v>129</v>
      </c>
      <c r="D105" s="94" t="s">
        <v>130</v>
      </c>
      <c r="E105" s="95" t="s">
        <v>129</v>
      </c>
      <c r="F105" s="94" t="s">
        <v>130</v>
      </c>
      <c r="G105" s="95" t="s">
        <v>129</v>
      </c>
      <c r="H105" s="94" t="s">
        <v>130</v>
      </c>
      <c r="I105" s="95" t="s">
        <v>129</v>
      </c>
      <c r="J105" s="94" t="s">
        <v>130</v>
      </c>
      <c r="K105" s="95" t="s">
        <v>129</v>
      </c>
      <c r="L105" s="287"/>
    </row>
    <row r="106" spans="1:12" ht="16.5" thickBot="1">
      <c r="A106" s="111" t="s">
        <v>124</v>
      </c>
      <c r="B106" s="77"/>
      <c r="C106" s="93">
        <v>1</v>
      </c>
      <c r="D106" s="92"/>
      <c r="E106" s="92"/>
      <c r="F106" s="92"/>
      <c r="G106" s="92">
        <v>1</v>
      </c>
      <c r="H106" s="92"/>
      <c r="I106" s="93"/>
      <c r="J106" s="92"/>
      <c r="K106" s="145"/>
      <c r="L106" s="134">
        <f aca="true" t="shared" si="12" ref="L106:L113">SUM(B106:K106)</f>
        <v>2</v>
      </c>
    </row>
    <row r="107" spans="1:12" ht="15.75">
      <c r="A107" s="112" t="s">
        <v>250</v>
      </c>
      <c r="B107" s="77"/>
      <c r="C107" s="93"/>
      <c r="D107" s="92"/>
      <c r="E107" s="92"/>
      <c r="F107" s="92"/>
      <c r="G107" s="92"/>
      <c r="H107" s="92"/>
      <c r="I107" s="93"/>
      <c r="J107" s="92"/>
      <c r="K107" s="145"/>
      <c r="L107" s="134">
        <f t="shared" si="12"/>
        <v>0</v>
      </c>
    </row>
    <row r="108" spans="1:12" ht="15.75">
      <c r="A108" s="112" t="s">
        <v>123</v>
      </c>
      <c r="B108" s="110"/>
      <c r="C108" s="65"/>
      <c r="D108" s="65"/>
      <c r="E108" s="65"/>
      <c r="F108" s="65"/>
      <c r="G108" s="65"/>
      <c r="H108" s="65"/>
      <c r="I108" s="66"/>
      <c r="J108" s="65"/>
      <c r="K108" s="133"/>
      <c r="L108" s="135">
        <f t="shared" si="12"/>
        <v>0</v>
      </c>
    </row>
    <row r="109" spans="1:12" ht="15.75">
      <c r="A109" s="112" t="s">
        <v>172</v>
      </c>
      <c r="B109" s="110"/>
      <c r="C109" s="65"/>
      <c r="D109" s="66">
        <v>5</v>
      </c>
      <c r="E109" s="65"/>
      <c r="F109" s="66">
        <v>3</v>
      </c>
      <c r="G109" s="65"/>
      <c r="H109" s="66">
        <v>2</v>
      </c>
      <c r="I109" s="66"/>
      <c r="J109" s="65"/>
      <c r="K109" s="133"/>
      <c r="L109" s="135">
        <f t="shared" si="12"/>
        <v>10</v>
      </c>
    </row>
    <row r="110" spans="1:12" ht="15.75">
      <c r="A110" s="112" t="s">
        <v>125</v>
      </c>
      <c r="B110" s="110"/>
      <c r="C110" s="65"/>
      <c r="D110" s="65"/>
      <c r="E110" s="65"/>
      <c r="F110" s="65"/>
      <c r="G110" s="65"/>
      <c r="H110" s="66"/>
      <c r="I110" s="66"/>
      <c r="J110" s="65"/>
      <c r="K110" s="133"/>
      <c r="L110" s="135">
        <f t="shared" si="12"/>
        <v>0</v>
      </c>
    </row>
    <row r="111" spans="1:12" ht="15.75">
      <c r="A111" s="131" t="s">
        <v>122</v>
      </c>
      <c r="B111" s="110"/>
      <c r="C111" s="65"/>
      <c r="D111" s="65"/>
      <c r="E111" s="65"/>
      <c r="F111" s="65"/>
      <c r="G111" s="65"/>
      <c r="H111" s="65"/>
      <c r="I111" s="66"/>
      <c r="J111" s="65"/>
      <c r="K111" s="133"/>
      <c r="L111" s="136">
        <f t="shared" si="12"/>
        <v>0</v>
      </c>
    </row>
    <row r="112" spans="1:12" ht="15.75">
      <c r="A112" s="131" t="s">
        <v>176</v>
      </c>
      <c r="B112" s="110"/>
      <c r="C112" s="65"/>
      <c r="D112" s="65"/>
      <c r="E112" s="65"/>
      <c r="F112" s="65"/>
      <c r="G112" s="65"/>
      <c r="H112" s="65"/>
      <c r="I112" s="66"/>
      <c r="J112" s="65"/>
      <c r="K112" s="133"/>
      <c r="L112" s="135">
        <f t="shared" si="12"/>
        <v>0</v>
      </c>
    </row>
    <row r="113" spans="1:12" ht="16.5" thickBot="1">
      <c r="A113" s="132" t="s">
        <v>128</v>
      </c>
      <c r="B113" s="110"/>
      <c r="C113" s="65"/>
      <c r="D113" s="65"/>
      <c r="E113" s="65"/>
      <c r="F113" s="65"/>
      <c r="G113" s="65"/>
      <c r="H113" s="65"/>
      <c r="I113" s="66"/>
      <c r="J113" s="65"/>
      <c r="K113" s="133"/>
      <c r="L113" s="88">
        <f t="shared" si="12"/>
        <v>0</v>
      </c>
    </row>
    <row r="114" ht="14.25" thickBot="1"/>
    <row r="115" spans="1:12" ht="14.25" thickBot="1">
      <c r="A115" s="107" t="s">
        <v>121</v>
      </c>
      <c r="B115" s="164">
        <f aca="true" t="shared" si="13" ref="B115:L115">SUM(B106:B113)</f>
        <v>0</v>
      </c>
      <c r="C115" s="165">
        <f t="shared" si="13"/>
        <v>1</v>
      </c>
      <c r="D115" s="97">
        <f t="shared" si="13"/>
        <v>5</v>
      </c>
      <c r="E115" s="99">
        <f t="shared" si="13"/>
        <v>0</v>
      </c>
      <c r="F115" s="99">
        <f t="shared" si="13"/>
        <v>3</v>
      </c>
      <c r="G115" s="99">
        <f t="shared" si="13"/>
        <v>1</v>
      </c>
      <c r="H115" s="99">
        <f t="shared" si="13"/>
        <v>2</v>
      </c>
      <c r="I115" s="99">
        <f t="shared" si="13"/>
        <v>0</v>
      </c>
      <c r="J115" s="99">
        <f t="shared" si="13"/>
        <v>0</v>
      </c>
      <c r="K115" s="99">
        <f t="shared" si="13"/>
        <v>0</v>
      </c>
      <c r="L115" s="100">
        <f t="shared" si="13"/>
        <v>12</v>
      </c>
    </row>
    <row r="116" spans="1:12" ht="14.25" thickBot="1">
      <c r="A116" s="108" t="s">
        <v>121</v>
      </c>
      <c r="B116" s="98">
        <f>SUM(B115+C115)</f>
        <v>1</v>
      </c>
      <c r="C116" s="98"/>
      <c r="D116" s="89">
        <f>SUM(D115+E115)</f>
        <v>5</v>
      </c>
      <c r="E116" s="74"/>
      <c r="F116" s="73">
        <f>SUM(F115+G115)</f>
        <v>4</v>
      </c>
      <c r="G116" s="74"/>
      <c r="H116" s="73">
        <f>SUM(H115+I115)</f>
        <v>2</v>
      </c>
      <c r="I116" s="74"/>
      <c r="J116" s="73">
        <f>SUM(J115+K115)</f>
        <v>0</v>
      </c>
      <c r="K116" s="74"/>
      <c r="L116" s="75">
        <f>SUM(L106:L112)</f>
        <v>12</v>
      </c>
    </row>
    <row r="118" ht="14.25" thickBot="1"/>
    <row r="119" spans="1:11" ht="17.25" thickBot="1">
      <c r="A119" s="282" t="s">
        <v>160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1:12" ht="24" thickBot="1">
      <c r="A120" s="285" t="s">
        <v>168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</row>
    <row r="121" spans="1:12" ht="14.25" thickBot="1">
      <c r="A121" s="64"/>
      <c r="B121" s="280" t="s">
        <v>151</v>
      </c>
      <c r="C121" s="281"/>
      <c r="D121" s="280" t="s">
        <v>152</v>
      </c>
      <c r="E121" s="281"/>
      <c r="F121" s="280" t="s">
        <v>126</v>
      </c>
      <c r="G121" s="281"/>
      <c r="H121" s="280" t="s">
        <v>127</v>
      </c>
      <c r="I121" s="281"/>
      <c r="J121" s="280" t="s">
        <v>153</v>
      </c>
      <c r="K121" s="281"/>
      <c r="L121" s="286" t="s">
        <v>121</v>
      </c>
    </row>
    <row r="122" spans="1:12" ht="15" thickBot="1">
      <c r="A122" s="160" t="s">
        <v>159</v>
      </c>
      <c r="B122" s="94" t="s">
        <v>130</v>
      </c>
      <c r="C122" s="95" t="s">
        <v>129</v>
      </c>
      <c r="D122" s="94" t="s">
        <v>130</v>
      </c>
      <c r="E122" s="95" t="s">
        <v>129</v>
      </c>
      <c r="F122" s="94" t="s">
        <v>130</v>
      </c>
      <c r="G122" s="95" t="s">
        <v>129</v>
      </c>
      <c r="H122" s="94" t="s">
        <v>130</v>
      </c>
      <c r="I122" s="95" t="s">
        <v>129</v>
      </c>
      <c r="J122" s="94" t="s">
        <v>130</v>
      </c>
      <c r="K122" s="95" t="s">
        <v>129</v>
      </c>
      <c r="L122" s="287"/>
    </row>
    <row r="123" spans="1:12" ht="16.5" thickBot="1">
      <c r="A123" s="150" t="s">
        <v>124</v>
      </c>
      <c r="B123" s="77">
        <v>1</v>
      </c>
      <c r="C123" s="92"/>
      <c r="D123" s="92"/>
      <c r="E123" s="92">
        <v>1</v>
      </c>
      <c r="F123" s="93">
        <v>1</v>
      </c>
      <c r="G123" s="92"/>
      <c r="H123" s="93">
        <v>1</v>
      </c>
      <c r="I123" s="92">
        <v>1</v>
      </c>
      <c r="J123" s="92"/>
      <c r="K123" s="145"/>
      <c r="L123" s="134">
        <f aca="true" t="shared" si="14" ref="L123:L130">SUM(B123:K123)</f>
        <v>5</v>
      </c>
    </row>
    <row r="124" spans="1:12" ht="15.75">
      <c r="A124" s="131" t="s">
        <v>250</v>
      </c>
      <c r="B124" s="77"/>
      <c r="C124" s="92"/>
      <c r="D124" s="92"/>
      <c r="E124" s="92"/>
      <c r="F124" s="93"/>
      <c r="G124" s="92"/>
      <c r="H124" s="93"/>
      <c r="I124" s="92"/>
      <c r="J124" s="92"/>
      <c r="K124" s="145"/>
      <c r="L124" s="134">
        <f t="shared" si="14"/>
        <v>0</v>
      </c>
    </row>
    <row r="125" spans="1:12" ht="15.75">
      <c r="A125" s="112" t="s">
        <v>123</v>
      </c>
      <c r="B125" s="109"/>
      <c r="C125" s="65"/>
      <c r="D125" s="66"/>
      <c r="E125" s="65"/>
      <c r="F125" s="65"/>
      <c r="G125" s="65"/>
      <c r="H125" s="65"/>
      <c r="I125" s="65"/>
      <c r="J125" s="65"/>
      <c r="K125" s="133"/>
      <c r="L125" s="135">
        <f t="shared" si="14"/>
        <v>0</v>
      </c>
    </row>
    <row r="126" spans="1:12" ht="15.75">
      <c r="A126" s="112" t="s">
        <v>172</v>
      </c>
      <c r="B126" s="110"/>
      <c r="C126" s="65"/>
      <c r="D126" s="66">
        <v>3</v>
      </c>
      <c r="E126" s="65"/>
      <c r="F126" s="66">
        <v>2</v>
      </c>
      <c r="G126" s="65"/>
      <c r="H126" s="66">
        <v>1</v>
      </c>
      <c r="I126" s="65"/>
      <c r="J126" s="65"/>
      <c r="K126" s="133"/>
      <c r="L126" s="135">
        <f t="shared" si="14"/>
        <v>6</v>
      </c>
    </row>
    <row r="127" spans="1:12" ht="15.75">
      <c r="A127" s="112" t="s">
        <v>125</v>
      </c>
      <c r="B127" s="109"/>
      <c r="C127" s="65"/>
      <c r="D127" s="66">
        <v>1</v>
      </c>
      <c r="E127" s="65">
        <v>1</v>
      </c>
      <c r="F127" s="66"/>
      <c r="G127" s="66"/>
      <c r="H127" s="66"/>
      <c r="I127" s="66">
        <v>1</v>
      </c>
      <c r="J127" s="65"/>
      <c r="K127" s="133"/>
      <c r="L127" s="135">
        <f t="shared" si="14"/>
        <v>3</v>
      </c>
    </row>
    <row r="128" spans="1:12" ht="16.5" thickBot="1">
      <c r="A128" s="112" t="s">
        <v>122</v>
      </c>
      <c r="B128" s="110"/>
      <c r="C128" s="65"/>
      <c r="D128" s="65"/>
      <c r="E128" s="65"/>
      <c r="F128" s="66"/>
      <c r="G128" s="65"/>
      <c r="H128" s="65"/>
      <c r="I128" s="65"/>
      <c r="J128" s="65"/>
      <c r="K128" s="133"/>
      <c r="L128" s="136">
        <f t="shared" si="14"/>
        <v>0</v>
      </c>
    </row>
    <row r="129" spans="1:12" ht="16.5" thickBot="1">
      <c r="A129" s="112" t="s">
        <v>176</v>
      </c>
      <c r="B129" s="109"/>
      <c r="C129" s="65"/>
      <c r="D129" s="65"/>
      <c r="E129" s="65"/>
      <c r="F129" s="66"/>
      <c r="G129" s="65"/>
      <c r="H129" s="65"/>
      <c r="I129" s="66"/>
      <c r="J129" s="65"/>
      <c r="K129" s="133"/>
      <c r="L129" s="72">
        <f t="shared" si="14"/>
        <v>0</v>
      </c>
    </row>
    <row r="130" spans="1:12" ht="16.5" thickBot="1">
      <c r="A130" s="113" t="s">
        <v>128</v>
      </c>
      <c r="B130" s="144"/>
      <c r="C130" s="82"/>
      <c r="D130" s="82"/>
      <c r="E130" s="82"/>
      <c r="F130" s="81"/>
      <c r="G130" s="82"/>
      <c r="H130" s="82"/>
      <c r="I130" s="81"/>
      <c r="J130" s="82"/>
      <c r="K130" s="142"/>
      <c r="L130" s="72">
        <f t="shared" si="14"/>
        <v>0</v>
      </c>
    </row>
    <row r="131" spans="1:12" ht="16.5" thickBot="1">
      <c r="A131" s="113"/>
      <c r="B131" s="144"/>
      <c r="C131" s="82"/>
      <c r="D131" s="82"/>
      <c r="E131" s="82"/>
      <c r="F131" s="81"/>
      <c r="G131" s="82"/>
      <c r="H131" s="82"/>
      <c r="I131" s="81"/>
      <c r="J131" s="82"/>
      <c r="K131" s="82"/>
      <c r="L131" s="83"/>
    </row>
    <row r="132" spans="1:12" ht="14.25" thickBot="1">
      <c r="A132" s="107" t="s">
        <v>121</v>
      </c>
      <c r="B132" s="164">
        <f aca="true" t="shared" si="15" ref="B132:L132">SUM(B123:B130)</f>
        <v>1</v>
      </c>
      <c r="C132" s="165">
        <f t="shared" si="15"/>
        <v>0</v>
      </c>
      <c r="D132" s="97">
        <f t="shared" si="15"/>
        <v>4</v>
      </c>
      <c r="E132" s="99">
        <f t="shared" si="15"/>
        <v>2</v>
      </c>
      <c r="F132" s="99">
        <f t="shared" si="15"/>
        <v>3</v>
      </c>
      <c r="G132" s="99">
        <f t="shared" si="15"/>
        <v>0</v>
      </c>
      <c r="H132" s="99">
        <f t="shared" si="15"/>
        <v>2</v>
      </c>
      <c r="I132" s="99">
        <f t="shared" si="15"/>
        <v>2</v>
      </c>
      <c r="J132" s="99">
        <f t="shared" si="15"/>
        <v>0</v>
      </c>
      <c r="K132" s="100">
        <f t="shared" si="15"/>
        <v>0</v>
      </c>
      <c r="L132" s="129">
        <f t="shared" si="15"/>
        <v>14</v>
      </c>
    </row>
    <row r="133" spans="1:12" ht="14.25" thickBot="1">
      <c r="A133" s="108" t="s">
        <v>121</v>
      </c>
      <c r="B133" s="98">
        <f>SUM(B132+C132)</f>
        <v>1</v>
      </c>
      <c r="C133" s="98"/>
      <c r="D133" s="89">
        <f>SUM(D132+E132)</f>
        <v>6</v>
      </c>
      <c r="E133" s="74"/>
      <c r="F133" s="73">
        <f>SUM(F132+G132)</f>
        <v>3</v>
      </c>
      <c r="G133" s="74"/>
      <c r="H133" s="73">
        <f>SUM(H132+I132)</f>
        <v>4</v>
      </c>
      <c r="I133" s="74"/>
      <c r="J133" s="73">
        <f>SUM(J132+K132)</f>
        <v>0</v>
      </c>
      <c r="K133" s="74"/>
      <c r="L133" s="130">
        <f>SUM(L123:L129)</f>
        <v>14</v>
      </c>
    </row>
    <row r="135" ht="14.25" thickBot="1"/>
    <row r="136" spans="1:11" ht="17.25" thickBot="1">
      <c r="A136" s="282" t="s">
        <v>160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4"/>
    </row>
    <row r="137" spans="1:12" ht="24" thickBot="1">
      <c r="A137" s="285" t="s">
        <v>169</v>
      </c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</row>
    <row r="138" spans="1:12" ht="14.25" thickBot="1">
      <c r="A138" s="64"/>
      <c r="B138" s="280" t="s">
        <v>151</v>
      </c>
      <c r="C138" s="281"/>
      <c r="D138" s="280" t="s">
        <v>152</v>
      </c>
      <c r="E138" s="281"/>
      <c r="F138" s="280" t="s">
        <v>126</v>
      </c>
      <c r="G138" s="281"/>
      <c r="H138" s="280" t="s">
        <v>127</v>
      </c>
      <c r="I138" s="281"/>
      <c r="J138" s="280" t="s">
        <v>153</v>
      </c>
      <c r="K138" s="281"/>
      <c r="L138" s="286" t="s">
        <v>121</v>
      </c>
    </row>
    <row r="139" spans="1:12" ht="15" thickBot="1">
      <c r="A139" s="91" t="s">
        <v>159</v>
      </c>
      <c r="B139" s="94" t="s">
        <v>130</v>
      </c>
      <c r="C139" s="95" t="s">
        <v>129</v>
      </c>
      <c r="D139" s="94" t="s">
        <v>130</v>
      </c>
      <c r="E139" s="95" t="s">
        <v>129</v>
      </c>
      <c r="F139" s="94" t="s">
        <v>130</v>
      </c>
      <c r="G139" s="95" t="s">
        <v>129</v>
      </c>
      <c r="H139" s="94" t="s">
        <v>130</v>
      </c>
      <c r="I139" s="95" t="s">
        <v>129</v>
      </c>
      <c r="J139" s="94" t="s">
        <v>130</v>
      </c>
      <c r="K139" s="95" t="s">
        <v>129</v>
      </c>
      <c r="L139" s="287"/>
    </row>
    <row r="140" spans="1:12" ht="16.5" thickBot="1">
      <c r="A140" s="111" t="s">
        <v>124</v>
      </c>
      <c r="B140" s="77">
        <v>1</v>
      </c>
      <c r="C140" s="93"/>
      <c r="D140" s="93">
        <v>3</v>
      </c>
      <c r="E140" s="93"/>
      <c r="F140" s="92">
        <v>1</v>
      </c>
      <c r="G140" s="92"/>
      <c r="H140" s="92">
        <v>1</v>
      </c>
      <c r="I140" s="92">
        <v>1</v>
      </c>
      <c r="J140" s="92"/>
      <c r="K140" s="145"/>
      <c r="L140" s="134">
        <f aca="true" t="shared" si="16" ref="L140:L147">SUM(B140:K140)</f>
        <v>7</v>
      </c>
    </row>
    <row r="141" spans="1:12" ht="15.75">
      <c r="A141" s="112" t="s">
        <v>250</v>
      </c>
      <c r="B141" s="77">
        <v>2</v>
      </c>
      <c r="C141" s="93"/>
      <c r="D141" s="93">
        <v>1</v>
      </c>
      <c r="E141" s="93">
        <v>1</v>
      </c>
      <c r="F141" s="92"/>
      <c r="G141" s="92"/>
      <c r="H141" s="92"/>
      <c r="I141" s="92"/>
      <c r="J141" s="92"/>
      <c r="K141" s="145"/>
      <c r="L141" s="134">
        <f t="shared" si="16"/>
        <v>4</v>
      </c>
    </row>
    <row r="142" spans="1:12" ht="15.75">
      <c r="A142" s="112" t="s">
        <v>123</v>
      </c>
      <c r="B142" s="110">
        <v>1</v>
      </c>
      <c r="C142" s="66">
        <v>2</v>
      </c>
      <c r="D142" s="65"/>
      <c r="E142" s="66">
        <v>1</v>
      </c>
      <c r="F142" s="65"/>
      <c r="G142" s="65">
        <v>1</v>
      </c>
      <c r="H142" s="65"/>
      <c r="I142" s="65"/>
      <c r="J142" s="65"/>
      <c r="K142" s="133"/>
      <c r="L142" s="135">
        <f t="shared" si="16"/>
        <v>5</v>
      </c>
    </row>
    <row r="143" spans="1:12" ht="15.75">
      <c r="A143" s="112" t="s">
        <v>172</v>
      </c>
      <c r="B143" s="110"/>
      <c r="C143" s="65"/>
      <c r="D143" s="76">
        <v>11</v>
      </c>
      <c r="E143" s="65"/>
      <c r="F143" s="66">
        <v>7</v>
      </c>
      <c r="G143" s="65"/>
      <c r="H143" s="66">
        <v>6</v>
      </c>
      <c r="I143" s="65"/>
      <c r="J143" s="65"/>
      <c r="K143" s="133"/>
      <c r="L143" s="135">
        <f t="shared" si="16"/>
        <v>24</v>
      </c>
    </row>
    <row r="144" spans="1:12" ht="15.75">
      <c r="A144" s="112" t="s">
        <v>125</v>
      </c>
      <c r="B144" s="143">
        <v>8</v>
      </c>
      <c r="C144" s="65"/>
      <c r="D144" s="66"/>
      <c r="E144" s="65"/>
      <c r="F144" s="66"/>
      <c r="G144" s="65"/>
      <c r="H144" s="66"/>
      <c r="I144" s="65"/>
      <c r="J144" s="65"/>
      <c r="K144" s="133"/>
      <c r="L144" s="135">
        <f t="shared" si="16"/>
        <v>8</v>
      </c>
    </row>
    <row r="145" spans="1:12" ht="16.5" thickBot="1">
      <c r="A145" s="112" t="s">
        <v>122</v>
      </c>
      <c r="B145" s="110"/>
      <c r="C145" s="66">
        <v>6</v>
      </c>
      <c r="D145" s="65"/>
      <c r="E145" s="66">
        <v>4</v>
      </c>
      <c r="F145" s="65"/>
      <c r="G145" s="66">
        <v>3</v>
      </c>
      <c r="H145" s="66"/>
      <c r="I145" s="66">
        <v>5</v>
      </c>
      <c r="J145" s="65"/>
      <c r="K145" s="133"/>
      <c r="L145" s="136">
        <f t="shared" si="16"/>
        <v>18</v>
      </c>
    </row>
    <row r="146" spans="1:12" ht="16.5" thickBot="1">
      <c r="A146" s="112" t="s">
        <v>176</v>
      </c>
      <c r="B146" s="110"/>
      <c r="C146" s="66"/>
      <c r="D146" s="65"/>
      <c r="E146" s="65"/>
      <c r="F146" s="65"/>
      <c r="G146" s="65"/>
      <c r="H146" s="65"/>
      <c r="I146" s="65"/>
      <c r="J146" s="65"/>
      <c r="K146" s="133"/>
      <c r="L146" s="72">
        <f t="shared" si="16"/>
        <v>0</v>
      </c>
    </row>
    <row r="147" spans="1:12" ht="16.5" thickBot="1">
      <c r="A147" s="113" t="s">
        <v>128</v>
      </c>
      <c r="B147" s="110">
        <v>2</v>
      </c>
      <c r="C147" s="81"/>
      <c r="D147" s="82">
        <v>1</v>
      </c>
      <c r="E147" s="82"/>
      <c r="F147" s="82"/>
      <c r="G147" s="82"/>
      <c r="H147" s="82"/>
      <c r="I147" s="82"/>
      <c r="J147" s="82"/>
      <c r="K147" s="142"/>
      <c r="L147" s="72">
        <f t="shared" si="16"/>
        <v>3</v>
      </c>
    </row>
    <row r="148" spans="1:12" ht="16.5" thickBot="1">
      <c r="A148" s="138"/>
      <c r="B148" s="82"/>
      <c r="C148" s="81"/>
      <c r="D148" s="82"/>
      <c r="E148" s="82"/>
      <c r="F148" s="82"/>
      <c r="G148" s="82"/>
      <c r="H148" s="82"/>
      <c r="I148" s="82"/>
      <c r="J148" s="82"/>
      <c r="K148" s="82"/>
      <c r="L148" s="83"/>
    </row>
    <row r="149" spans="1:12" ht="14.25" thickBot="1">
      <c r="A149" s="107" t="s">
        <v>121</v>
      </c>
      <c r="B149" s="167">
        <f aca="true" t="shared" si="17" ref="B149:L149">SUM(B140:B147)</f>
        <v>14</v>
      </c>
      <c r="C149" s="141">
        <f t="shared" si="17"/>
        <v>8</v>
      </c>
      <c r="D149" s="139">
        <f t="shared" si="17"/>
        <v>16</v>
      </c>
      <c r="E149" s="140">
        <f t="shared" si="17"/>
        <v>6</v>
      </c>
      <c r="F149" s="140">
        <f t="shared" si="17"/>
        <v>8</v>
      </c>
      <c r="G149" s="140">
        <f t="shared" si="17"/>
        <v>4</v>
      </c>
      <c r="H149" s="140">
        <f t="shared" si="17"/>
        <v>7</v>
      </c>
      <c r="I149" s="140">
        <f t="shared" si="17"/>
        <v>6</v>
      </c>
      <c r="J149" s="140">
        <f t="shared" si="17"/>
        <v>0</v>
      </c>
      <c r="K149" s="141">
        <f t="shared" si="17"/>
        <v>0</v>
      </c>
      <c r="L149" s="137">
        <f t="shared" si="17"/>
        <v>69</v>
      </c>
    </row>
    <row r="150" spans="1:12" ht="14.25" thickBot="1">
      <c r="A150" s="108" t="s">
        <v>121</v>
      </c>
      <c r="B150" s="168">
        <f>SUM(B149+C149)</f>
        <v>22</v>
      </c>
      <c r="C150" s="74"/>
      <c r="D150" s="89">
        <f>SUM(D149+E149)</f>
        <v>22</v>
      </c>
      <c r="E150" s="74"/>
      <c r="F150" s="73">
        <f>SUM(F149+G149)</f>
        <v>12</v>
      </c>
      <c r="G150" s="74"/>
      <c r="H150" s="73">
        <f>SUM(H149+I149)</f>
        <v>13</v>
      </c>
      <c r="I150" s="74"/>
      <c r="J150" s="73">
        <f>SUM(J149+K149)</f>
        <v>0</v>
      </c>
      <c r="K150" s="74"/>
      <c r="L150" s="130">
        <f>SUM(L140:L146)</f>
        <v>66</v>
      </c>
    </row>
    <row r="151" ht="13.5">
      <c r="B151" s="166"/>
    </row>
    <row r="152" spans="1:2" ht="14.25" thickBot="1">
      <c r="A152" s="69"/>
      <c r="B152" s="69"/>
    </row>
    <row r="153" spans="1:11" ht="17.25" thickBot="1">
      <c r="A153" s="282" t="s">
        <v>160</v>
      </c>
      <c r="B153" s="283"/>
      <c r="C153" s="283"/>
      <c r="D153" s="283"/>
      <c r="E153" s="283"/>
      <c r="F153" s="283"/>
      <c r="G153" s="283"/>
      <c r="H153" s="283"/>
      <c r="I153" s="283"/>
      <c r="J153" s="283"/>
      <c r="K153" s="284"/>
    </row>
    <row r="154" spans="1:12" ht="24" thickBot="1">
      <c r="A154" s="285" t="s">
        <v>170</v>
      </c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</row>
    <row r="155" spans="1:12" ht="14.25" thickBot="1">
      <c r="A155" s="64"/>
      <c r="B155" s="280" t="s">
        <v>151</v>
      </c>
      <c r="C155" s="281"/>
      <c r="D155" s="280" t="s">
        <v>152</v>
      </c>
      <c r="E155" s="281"/>
      <c r="F155" s="280" t="s">
        <v>126</v>
      </c>
      <c r="G155" s="281"/>
      <c r="H155" s="280" t="s">
        <v>127</v>
      </c>
      <c r="I155" s="281"/>
      <c r="J155" s="280" t="s">
        <v>153</v>
      </c>
      <c r="K155" s="281"/>
      <c r="L155" s="286" t="s">
        <v>121</v>
      </c>
    </row>
    <row r="156" spans="1:12" ht="15" thickBot="1">
      <c r="A156" s="91" t="s">
        <v>159</v>
      </c>
      <c r="B156" s="94" t="s">
        <v>130</v>
      </c>
      <c r="C156" s="95" t="s">
        <v>129</v>
      </c>
      <c r="D156" s="94" t="s">
        <v>130</v>
      </c>
      <c r="E156" s="95" t="s">
        <v>129</v>
      </c>
      <c r="F156" s="94" t="s">
        <v>130</v>
      </c>
      <c r="G156" s="95" t="s">
        <v>129</v>
      </c>
      <c r="H156" s="94" t="s">
        <v>130</v>
      </c>
      <c r="I156" s="95" t="s">
        <v>129</v>
      </c>
      <c r="J156" s="94" t="s">
        <v>130</v>
      </c>
      <c r="K156" s="95" t="s">
        <v>129</v>
      </c>
      <c r="L156" s="287"/>
    </row>
    <row r="157" spans="1:12" ht="16.5" thickBot="1">
      <c r="A157" s="111" t="s">
        <v>124</v>
      </c>
      <c r="B157" s="158">
        <v>9</v>
      </c>
      <c r="C157" s="93">
        <v>8</v>
      </c>
      <c r="D157" s="93">
        <v>11</v>
      </c>
      <c r="E157" s="93">
        <v>5</v>
      </c>
      <c r="F157" s="93">
        <v>11</v>
      </c>
      <c r="G157" s="93">
        <v>12</v>
      </c>
      <c r="H157" s="93">
        <v>10</v>
      </c>
      <c r="I157" s="93">
        <v>7</v>
      </c>
      <c r="J157" s="92"/>
      <c r="K157" s="145"/>
      <c r="L157" s="134">
        <f aca="true" t="shared" si="18" ref="L157:L164">SUM(B157:K157)</f>
        <v>73</v>
      </c>
    </row>
    <row r="158" spans="1:12" ht="15.75">
      <c r="A158" s="112" t="s">
        <v>250</v>
      </c>
      <c r="B158" s="158">
        <v>1</v>
      </c>
      <c r="C158" s="93">
        <v>1</v>
      </c>
      <c r="D158" s="93">
        <v>14</v>
      </c>
      <c r="E158" s="93">
        <v>12</v>
      </c>
      <c r="F158" s="93">
        <v>14</v>
      </c>
      <c r="G158" s="93">
        <v>11</v>
      </c>
      <c r="H158" s="93"/>
      <c r="I158" s="93"/>
      <c r="J158" s="92"/>
      <c r="K158" s="145"/>
      <c r="L158" s="134">
        <f t="shared" si="18"/>
        <v>53</v>
      </c>
    </row>
    <row r="159" spans="1:12" ht="15.75">
      <c r="A159" s="112" t="s">
        <v>123</v>
      </c>
      <c r="B159" s="109">
        <v>8</v>
      </c>
      <c r="C159" s="66">
        <v>5</v>
      </c>
      <c r="D159" s="66">
        <v>9</v>
      </c>
      <c r="E159" s="66">
        <v>1</v>
      </c>
      <c r="F159" s="66">
        <v>3</v>
      </c>
      <c r="G159" s="66">
        <v>3</v>
      </c>
      <c r="H159" s="66">
        <v>3</v>
      </c>
      <c r="I159" s="66">
        <v>3</v>
      </c>
      <c r="J159" s="65"/>
      <c r="K159" s="133"/>
      <c r="L159" s="135">
        <f>SUM(B159:K159)</f>
        <v>35</v>
      </c>
    </row>
    <row r="160" spans="1:12" ht="15.75">
      <c r="A160" s="112" t="s">
        <v>172</v>
      </c>
      <c r="B160" s="110"/>
      <c r="C160" s="65"/>
      <c r="D160" s="66">
        <v>68</v>
      </c>
      <c r="E160" s="65"/>
      <c r="F160" s="66">
        <v>49</v>
      </c>
      <c r="G160" s="65"/>
      <c r="H160" s="66">
        <v>41</v>
      </c>
      <c r="I160" s="66"/>
      <c r="J160" s="65"/>
      <c r="K160" s="133"/>
      <c r="L160" s="135">
        <f t="shared" si="18"/>
        <v>158</v>
      </c>
    </row>
    <row r="161" spans="1:12" ht="15.75">
      <c r="A161" s="112" t="s">
        <v>125</v>
      </c>
      <c r="B161" s="109">
        <v>40</v>
      </c>
      <c r="C161" s="66"/>
      <c r="D161" s="66">
        <v>5</v>
      </c>
      <c r="E161" s="66">
        <v>2</v>
      </c>
      <c r="F161" s="66">
        <v>3</v>
      </c>
      <c r="G161" s="66"/>
      <c r="H161" s="66">
        <v>5</v>
      </c>
      <c r="I161" s="66">
        <v>2</v>
      </c>
      <c r="J161" s="65"/>
      <c r="K161" s="133"/>
      <c r="L161" s="135">
        <f t="shared" si="18"/>
        <v>57</v>
      </c>
    </row>
    <row r="162" spans="1:12" ht="15.75">
      <c r="A162" s="112" t="s">
        <v>122</v>
      </c>
      <c r="B162" s="109"/>
      <c r="C162" s="65">
        <v>6</v>
      </c>
      <c r="D162" s="65"/>
      <c r="E162" s="66">
        <v>4</v>
      </c>
      <c r="F162" s="65">
        <v>1</v>
      </c>
      <c r="G162" s="66">
        <v>5</v>
      </c>
      <c r="H162" s="65">
        <v>1</v>
      </c>
      <c r="I162" s="66">
        <v>4</v>
      </c>
      <c r="J162" s="65"/>
      <c r="K162" s="133"/>
      <c r="L162" s="135">
        <f t="shared" si="18"/>
        <v>21</v>
      </c>
    </row>
    <row r="163" spans="1:12" ht="15.75">
      <c r="A163" s="131" t="s">
        <v>176</v>
      </c>
      <c r="B163" s="109">
        <v>5</v>
      </c>
      <c r="C163" s="65">
        <v>5</v>
      </c>
      <c r="D163" s="76"/>
      <c r="E163" s="65"/>
      <c r="F163" s="66"/>
      <c r="G163" s="65"/>
      <c r="H163" s="65"/>
      <c r="I163" s="65"/>
      <c r="J163" s="65"/>
      <c r="K163" s="133"/>
      <c r="L163" s="135">
        <f t="shared" si="18"/>
        <v>10</v>
      </c>
    </row>
    <row r="164" spans="1:12" ht="16.5" thickBot="1">
      <c r="A164" s="132" t="s">
        <v>128</v>
      </c>
      <c r="B164" s="109">
        <v>7</v>
      </c>
      <c r="C164" s="65"/>
      <c r="D164" s="76">
        <v>4</v>
      </c>
      <c r="E164" s="65"/>
      <c r="F164" s="66">
        <v>4</v>
      </c>
      <c r="G164" s="65"/>
      <c r="H164" s="65">
        <v>4</v>
      </c>
      <c r="I164" s="65"/>
      <c r="J164" s="65"/>
      <c r="K164" s="133"/>
      <c r="L164" s="88">
        <f t="shared" si="18"/>
        <v>19</v>
      </c>
    </row>
    <row r="165" ht="14.25" thickBot="1">
      <c r="K165" t="s">
        <v>39</v>
      </c>
    </row>
    <row r="166" spans="1:12" ht="14.25" thickBot="1">
      <c r="A166" s="107" t="s">
        <v>121</v>
      </c>
      <c r="B166" s="164">
        <f aca="true" t="shared" si="19" ref="B166:K166">SUM(B157:B165)</f>
        <v>70</v>
      </c>
      <c r="C166" s="165">
        <f t="shared" si="19"/>
        <v>25</v>
      </c>
      <c r="D166" s="97">
        <f t="shared" si="19"/>
        <v>111</v>
      </c>
      <c r="E166" s="102">
        <f t="shared" si="19"/>
        <v>24</v>
      </c>
      <c r="F166" s="97">
        <f t="shared" si="19"/>
        <v>85</v>
      </c>
      <c r="G166" s="100">
        <f t="shared" si="19"/>
        <v>31</v>
      </c>
      <c r="H166" s="97">
        <f t="shared" si="19"/>
        <v>64</v>
      </c>
      <c r="I166" s="100">
        <f t="shared" si="19"/>
        <v>16</v>
      </c>
      <c r="J166" s="169">
        <f t="shared" si="19"/>
        <v>0</v>
      </c>
      <c r="K166" s="100">
        <f t="shared" si="19"/>
        <v>0</v>
      </c>
      <c r="L166" s="75">
        <f>SUM(L157:L164)</f>
        <v>426</v>
      </c>
    </row>
    <row r="167" spans="1:12" ht="14.25" thickBot="1">
      <c r="A167" s="108" t="s">
        <v>121</v>
      </c>
      <c r="B167" s="98">
        <f>SUM(B166+C166)</f>
        <v>95</v>
      </c>
      <c r="C167" s="98"/>
      <c r="D167" s="89">
        <f>SUM(D166+E166)</f>
        <v>135</v>
      </c>
      <c r="E167" s="98"/>
      <c r="F167" s="89">
        <f>SUM(F166+G166)</f>
        <v>116</v>
      </c>
      <c r="G167" s="74"/>
      <c r="H167" s="89">
        <f>SUM(H166+I166)</f>
        <v>80</v>
      </c>
      <c r="I167" s="74"/>
      <c r="J167" s="98">
        <f>SUM(J166+K166)</f>
        <v>0</v>
      </c>
      <c r="K167" s="74"/>
      <c r="L167" s="75">
        <f>SUM(B167:K167)</f>
        <v>426</v>
      </c>
    </row>
    <row r="169" ht="14.25" thickBot="1"/>
    <row r="170" spans="1:11" ht="17.25" thickBot="1">
      <c r="A170" s="282" t="s">
        <v>160</v>
      </c>
      <c r="B170" s="283"/>
      <c r="C170" s="283"/>
      <c r="D170" s="283"/>
      <c r="E170" s="283"/>
      <c r="F170" s="283"/>
      <c r="G170" s="283"/>
      <c r="H170" s="283"/>
      <c r="I170" s="283"/>
      <c r="J170" s="283"/>
      <c r="K170" s="284"/>
    </row>
    <row r="171" spans="1:12" ht="24" thickBot="1">
      <c r="A171" s="285" t="s">
        <v>184</v>
      </c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</row>
    <row r="172" spans="1:12" ht="14.25" thickBot="1">
      <c r="A172" s="64"/>
      <c r="B172" s="280" t="s">
        <v>151</v>
      </c>
      <c r="C172" s="281"/>
      <c r="D172" s="280" t="s">
        <v>152</v>
      </c>
      <c r="E172" s="281"/>
      <c r="F172" s="280" t="s">
        <v>126</v>
      </c>
      <c r="G172" s="281"/>
      <c r="H172" s="280" t="s">
        <v>127</v>
      </c>
      <c r="I172" s="281"/>
      <c r="J172" s="280" t="s">
        <v>153</v>
      </c>
      <c r="K172" s="281"/>
      <c r="L172" s="286" t="s">
        <v>121</v>
      </c>
    </row>
    <row r="173" spans="1:12" ht="15" thickBot="1">
      <c r="A173" s="91" t="s">
        <v>159</v>
      </c>
      <c r="B173" s="94" t="s">
        <v>130</v>
      </c>
      <c r="C173" s="95" t="s">
        <v>129</v>
      </c>
      <c r="D173" s="94" t="s">
        <v>130</v>
      </c>
      <c r="E173" s="95" t="s">
        <v>129</v>
      </c>
      <c r="F173" s="94" t="s">
        <v>130</v>
      </c>
      <c r="G173" s="95" t="s">
        <v>129</v>
      </c>
      <c r="H173" s="94" t="s">
        <v>130</v>
      </c>
      <c r="I173" s="95" t="s">
        <v>129</v>
      </c>
      <c r="J173" s="94" t="s">
        <v>130</v>
      </c>
      <c r="K173" s="95" t="s">
        <v>129</v>
      </c>
      <c r="L173" s="287"/>
    </row>
    <row r="174" spans="1:12" ht="16.5" thickBot="1">
      <c r="A174" s="111" t="s">
        <v>124</v>
      </c>
      <c r="B174" s="77">
        <v>1</v>
      </c>
      <c r="C174" s="92"/>
      <c r="D174" s="92">
        <v>8</v>
      </c>
      <c r="E174" s="92">
        <v>8</v>
      </c>
      <c r="F174" s="93">
        <v>4</v>
      </c>
      <c r="G174" s="92">
        <v>2</v>
      </c>
      <c r="H174" s="93">
        <v>6</v>
      </c>
      <c r="I174" s="92"/>
      <c r="J174" s="92"/>
      <c r="K174" s="145"/>
      <c r="L174" s="134">
        <f aca="true" t="shared" si="20" ref="L174:L181">SUM(B174:K174)</f>
        <v>29</v>
      </c>
    </row>
    <row r="175" spans="1:12" ht="15.75">
      <c r="A175" s="112" t="s">
        <v>250</v>
      </c>
      <c r="B175" s="77">
        <v>1</v>
      </c>
      <c r="C175" s="92"/>
      <c r="D175" s="92">
        <v>1</v>
      </c>
      <c r="E175" s="92"/>
      <c r="F175" s="93">
        <v>1</v>
      </c>
      <c r="G175" s="92">
        <v>1</v>
      </c>
      <c r="H175" s="93"/>
      <c r="I175" s="92"/>
      <c r="J175" s="92"/>
      <c r="K175" s="145"/>
      <c r="L175" s="134">
        <f t="shared" si="20"/>
        <v>4</v>
      </c>
    </row>
    <row r="176" spans="1:12" ht="15.75">
      <c r="A176" s="112" t="s">
        <v>123</v>
      </c>
      <c r="B176" s="110"/>
      <c r="C176" s="66">
        <v>2</v>
      </c>
      <c r="D176" s="65"/>
      <c r="E176" s="66">
        <v>2</v>
      </c>
      <c r="F176" s="66"/>
      <c r="G176" s="66">
        <v>2</v>
      </c>
      <c r="H176" s="65"/>
      <c r="I176" s="65">
        <v>2</v>
      </c>
      <c r="J176" s="65"/>
      <c r="K176" s="133"/>
      <c r="L176" s="135">
        <f t="shared" si="20"/>
        <v>8</v>
      </c>
    </row>
    <row r="177" spans="1:12" ht="15.75">
      <c r="A177" s="112" t="s">
        <v>172</v>
      </c>
      <c r="C177" s="17"/>
      <c r="D177" s="17">
        <v>21</v>
      </c>
      <c r="E177" s="17"/>
      <c r="F177" s="17">
        <v>10</v>
      </c>
      <c r="G177" s="17"/>
      <c r="H177" s="17">
        <v>12</v>
      </c>
      <c r="I177" s="17"/>
      <c r="J177" s="65"/>
      <c r="K177" s="133"/>
      <c r="L177" s="135">
        <f t="shared" si="20"/>
        <v>43</v>
      </c>
    </row>
    <row r="178" spans="1:12" ht="15.75">
      <c r="A178" s="112" t="s">
        <v>125</v>
      </c>
      <c r="B178" s="110">
        <v>5</v>
      </c>
      <c r="C178" s="65"/>
      <c r="D178" s="66">
        <v>5</v>
      </c>
      <c r="E178" s="65"/>
      <c r="F178" s="66">
        <v>3</v>
      </c>
      <c r="G178" s="65"/>
      <c r="H178" s="66">
        <v>3</v>
      </c>
      <c r="I178" s="65">
        <v>3</v>
      </c>
      <c r="J178" s="65"/>
      <c r="K178" s="133"/>
      <c r="L178" s="135">
        <f>SUM(B178:K178)</f>
        <v>19</v>
      </c>
    </row>
    <row r="179" spans="1:12" ht="15.75">
      <c r="A179" s="112" t="s">
        <v>122</v>
      </c>
      <c r="B179" s="109"/>
      <c r="C179" s="66">
        <v>3</v>
      </c>
      <c r="D179" s="65"/>
      <c r="E179" s="66">
        <v>6</v>
      </c>
      <c r="F179" s="66">
        <v>1</v>
      </c>
      <c r="G179" s="66">
        <v>6</v>
      </c>
      <c r="H179" s="66"/>
      <c r="I179" s="66">
        <v>7</v>
      </c>
      <c r="J179" s="65"/>
      <c r="K179" s="133"/>
      <c r="L179" s="136">
        <f t="shared" si="20"/>
        <v>23</v>
      </c>
    </row>
    <row r="180" spans="1:12" ht="15.75">
      <c r="A180" s="131" t="s">
        <v>176</v>
      </c>
      <c r="B180" s="110"/>
      <c r="C180" s="65"/>
      <c r="D180" s="65"/>
      <c r="E180" s="65"/>
      <c r="F180" s="65"/>
      <c r="G180" s="65"/>
      <c r="H180" s="65"/>
      <c r="I180" s="65"/>
      <c r="J180" s="65"/>
      <c r="K180" s="133"/>
      <c r="L180" s="135">
        <f t="shared" si="20"/>
        <v>0</v>
      </c>
    </row>
    <row r="181" spans="1:12" ht="16.5" thickBot="1">
      <c r="A181" s="132" t="s">
        <v>128</v>
      </c>
      <c r="B181" s="110"/>
      <c r="C181" s="65"/>
      <c r="D181" s="65"/>
      <c r="E181" s="65"/>
      <c r="F181" s="65"/>
      <c r="G181" s="65"/>
      <c r="H181" s="65"/>
      <c r="I181" s="65"/>
      <c r="J181" s="65"/>
      <c r="K181" s="133"/>
      <c r="L181" s="88">
        <f t="shared" si="20"/>
        <v>0</v>
      </c>
    </row>
    <row r="182" spans="1:2" ht="14.25" thickBot="1">
      <c r="A182" s="55"/>
      <c r="B182" t="s">
        <v>39</v>
      </c>
    </row>
    <row r="183" spans="1:12" ht="14.25" thickBot="1">
      <c r="A183" s="107" t="s">
        <v>121</v>
      </c>
      <c r="B183" s="164">
        <f aca="true" t="shared" si="21" ref="B183:L183">SUM(B174:B181)</f>
        <v>7</v>
      </c>
      <c r="C183" s="165">
        <f t="shared" si="21"/>
        <v>5</v>
      </c>
      <c r="D183" s="97">
        <f t="shared" si="21"/>
        <v>35</v>
      </c>
      <c r="E183" s="99">
        <f t="shared" si="21"/>
        <v>16</v>
      </c>
      <c r="F183" s="99">
        <f t="shared" si="21"/>
        <v>19</v>
      </c>
      <c r="G183" s="99">
        <f t="shared" si="21"/>
        <v>11</v>
      </c>
      <c r="H183" s="99">
        <f t="shared" si="21"/>
        <v>21</v>
      </c>
      <c r="I183" s="99">
        <f t="shared" si="21"/>
        <v>12</v>
      </c>
      <c r="J183" s="99">
        <f t="shared" si="21"/>
        <v>0</v>
      </c>
      <c r="K183" s="100">
        <f t="shared" si="21"/>
        <v>0</v>
      </c>
      <c r="L183" s="129">
        <f t="shared" si="21"/>
        <v>126</v>
      </c>
    </row>
    <row r="184" spans="1:12" ht="14.25" thickBot="1">
      <c r="A184" s="108" t="s">
        <v>121</v>
      </c>
      <c r="B184" s="297">
        <f>SUM(B183+C183)</f>
        <v>12</v>
      </c>
      <c r="C184" s="297"/>
      <c r="D184" s="288">
        <f>SUM(D183+E183)</f>
        <v>51</v>
      </c>
      <c r="E184" s="289"/>
      <c r="F184" s="288">
        <f>SUM(F183+G183)</f>
        <v>30</v>
      </c>
      <c r="G184" s="289"/>
      <c r="H184" s="288">
        <f>SUM(H183+I183)</f>
        <v>33</v>
      </c>
      <c r="I184" s="289"/>
      <c r="J184" s="73">
        <f>SUM(J183+K183)</f>
        <v>0</v>
      </c>
      <c r="K184" s="74"/>
      <c r="L184" s="130">
        <f>SUM(B184:K184)</f>
        <v>126</v>
      </c>
    </row>
    <row r="187" ht="14.25" thickBot="1"/>
    <row r="188" spans="1:12" ht="14.25" thickBot="1">
      <c r="A188" s="84"/>
      <c r="B188" s="177" t="s">
        <v>151</v>
      </c>
      <c r="C188" s="85"/>
      <c r="D188" s="292" t="s">
        <v>152</v>
      </c>
      <c r="E188" s="293"/>
      <c r="F188" s="292" t="s">
        <v>126</v>
      </c>
      <c r="G188" s="293"/>
      <c r="H188" s="292" t="s">
        <v>127</v>
      </c>
      <c r="I188" s="293"/>
      <c r="J188" s="292" t="s">
        <v>153</v>
      </c>
      <c r="K188" s="293"/>
      <c r="L188" s="286" t="s">
        <v>121</v>
      </c>
    </row>
    <row r="189" spans="1:12" ht="15" thickBot="1">
      <c r="A189" s="175" t="s">
        <v>159</v>
      </c>
      <c r="B189" s="148" t="s">
        <v>130</v>
      </c>
      <c r="C189" s="149" t="s">
        <v>129</v>
      </c>
      <c r="D189" s="148" t="s">
        <v>130</v>
      </c>
      <c r="E189" s="149" t="s">
        <v>129</v>
      </c>
      <c r="F189" s="148" t="s">
        <v>130</v>
      </c>
      <c r="G189" s="149" t="s">
        <v>129</v>
      </c>
      <c r="H189" s="148" t="s">
        <v>130</v>
      </c>
      <c r="I189" s="149" t="s">
        <v>129</v>
      </c>
      <c r="J189" s="148" t="s">
        <v>130</v>
      </c>
      <c r="K189" s="149" t="s">
        <v>129</v>
      </c>
      <c r="L189" s="287"/>
    </row>
    <row r="190" spans="1:13" ht="16.5" thickBot="1">
      <c r="A190" s="115" t="s">
        <v>124</v>
      </c>
      <c r="B190" s="176">
        <f aca="true" t="shared" si="22" ref="B190:K190">SUM(B5+B21+B38+B55+B72+B89+B106+B123+B140+B157+B174)</f>
        <v>45</v>
      </c>
      <c r="C190" s="146">
        <f t="shared" si="22"/>
        <v>36</v>
      </c>
      <c r="D190" s="146">
        <f t="shared" si="22"/>
        <v>64</v>
      </c>
      <c r="E190" s="146">
        <f t="shared" si="22"/>
        <v>48</v>
      </c>
      <c r="F190" s="146">
        <f t="shared" si="22"/>
        <v>44</v>
      </c>
      <c r="G190" s="146">
        <f t="shared" si="22"/>
        <v>42</v>
      </c>
      <c r="H190" s="146">
        <f t="shared" si="22"/>
        <v>43</v>
      </c>
      <c r="I190" s="146">
        <f t="shared" si="22"/>
        <v>31</v>
      </c>
      <c r="J190" s="146">
        <f t="shared" si="22"/>
        <v>0</v>
      </c>
      <c r="K190" s="147">
        <f t="shared" si="22"/>
        <v>0</v>
      </c>
      <c r="L190" s="125">
        <f>SUM(B190:K190)</f>
        <v>353</v>
      </c>
      <c r="M190" s="27"/>
    </row>
    <row r="191" spans="1:13" ht="15.75">
      <c r="A191" s="116" t="s">
        <v>250</v>
      </c>
      <c r="B191" s="176">
        <f aca="true" t="shared" si="23" ref="B191:K191">SUM(B6+B22+B39+B56+B73+B90+B107+B124+B141+B158+B175)</f>
        <v>11</v>
      </c>
      <c r="C191" s="146">
        <f t="shared" si="23"/>
        <v>5</v>
      </c>
      <c r="D191" s="146">
        <f t="shared" si="23"/>
        <v>25</v>
      </c>
      <c r="E191" s="146">
        <f t="shared" si="23"/>
        <v>28</v>
      </c>
      <c r="F191" s="146">
        <f t="shared" si="23"/>
        <v>30</v>
      </c>
      <c r="G191" s="146">
        <f t="shared" si="23"/>
        <v>26</v>
      </c>
      <c r="H191" s="146">
        <f t="shared" si="23"/>
        <v>0</v>
      </c>
      <c r="I191" s="146">
        <f t="shared" si="23"/>
        <v>0</v>
      </c>
      <c r="J191" s="146">
        <f t="shared" si="23"/>
        <v>0</v>
      </c>
      <c r="K191" s="147">
        <f t="shared" si="23"/>
        <v>0</v>
      </c>
      <c r="L191" s="125">
        <f>SUM(B191:K191)</f>
        <v>125</v>
      </c>
      <c r="M191" s="27"/>
    </row>
    <row r="192" spans="1:13" ht="15.75">
      <c r="A192" s="116" t="s">
        <v>123</v>
      </c>
      <c r="B192" s="114">
        <f aca="true" t="shared" si="24" ref="B192:K192">SUM(B7+B23+B40+B57+B74+B91+B108+B125+B142+B159+B176)</f>
        <v>31</v>
      </c>
      <c r="C192" s="86">
        <f t="shared" si="24"/>
        <v>22</v>
      </c>
      <c r="D192" s="86">
        <f t="shared" si="24"/>
        <v>31</v>
      </c>
      <c r="E192" s="86">
        <f t="shared" si="24"/>
        <v>8</v>
      </c>
      <c r="F192" s="86">
        <f t="shared" si="24"/>
        <v>17</v>
      </c>
      <c r="G192" s="86">
        <f t="shared" si="24"/>
        <v>12</v>
      </c>
      <c r="H192" s="86">
        <f t="shared" si="24"/>
        <v>11</v>
      </c>
      <c r="I192" s="86">
        <f t="shared" si="24"/>
        <v>11</v>
      </c>
      <c r="J192" s="86">
        <f t="shared" si="24"/>
        <v>0</v>
      </c>
      <c r="K192" s="124">
        <f t="shared" si="24"/>
        <v>0</v>
      </c>
      <c r="L192" s="126">
        <f aca="true" t="shared" si="25" ref="L192:L197">SUM(B192:K192)</f>
        <v>143</v>
      </c>
      <c r="M192" s="27"/>
    </row>
    <row r="193" spans="1:13" ht="15.75">
      <c r="A193" s="116" t="s">
        <v>172</v>
      </c>
      <c r="B193" s="114">
        <f>SUM(B8+B24+B41+B58+B75+B92+B109+B126+B143+B160+B177)</f>
        <v>0</v>
      </c>
      <c r="C193" s="114">
        <f aca="true" t="shared" si="26" ref="C193:K193">SUM(C8+C24+C41+C58+C75+C92+C109+C126+C143+C160+C177)</f>
        <v>0</v>
      </c>
      <c r="D193" s="114">
        <f t="shared" si="26"/>
        <v>247</v>
      </c>
      <c r="E193" s="114">
        <f t="shared" si="26"/>
        <v>0</v>
      </c>
      <c r="F193" s="114">
        <f t="shared" si="26"/>
        <v>173</v>
      </c>
      <c r="G193" s="114">
        <f t="shared" si="26"/>
        <v>0</v>
      </c>
      <c r="H193" s="114">
        <f t="shared" si="26"/>
        <v>149</v>
      </c>
      <c r="I193" s="114">
        <f t="shared" si="26"/>
        <v>0</v>
      </c>
      <c r="J193" s="114">
        <f t="shared" si="26"/>
        <v>0</v>
      </c>
      <c r="K193" s="114">
        <f t="shared" si="26"/>
        <v>0</v>
      </c>
      <c r="L193" s="127">
        <f t="shared" si="25"/>
        <v>569</v>
      </c>
      <c r="M193" s="27"/>
    </row>
    <row r="194" spans="1:13" ht="15.75">
      <c r="A194" s="116" t="s">
        <v>125</v>
      </c>
      <c r="B194" s="114">
        <f>SUM(B9+B25+B42+B59+B76+B93+B110+B127+B144+B161+B178)</f>
        <v>103</v>
      </c>
      <c r="C194" s="114">
        <f aca="true" t="shared" si="27" ref="C194:K194">SUM(C9+C25+C42+C59+C76+C93+C110+C127+C144+C161+C178)</f>
        <v>0</v>
      </c>
      <c r="D194" s="114">
        <f t="shared" si="27"/>
        <v>13</v>
      </c>
      <c r="E194" s="114">
        <f t="shared" si="27"/>
        <v>4</v>
      </c>
      <c r="F194" s="114">
        <f t="shared" si="27"/>
        <v>8</v>
      </c>
      <c r="G194" s="114">
        <f t="shared" si="27"/>
        <v>0</v>
      </c>
      <c r="H194" s="114">
        <f t="shared" si="27"/>
        <v>11</v>
      </c>
      <c r="I194" s="114">
        <f t="shared" si="27"/>
        <v>8</v>
      </c>
      <c r="J194" s="114">
        <f t="shared" si="27"/>
        <v>0</v>
      </c>
      <c r="K194" s="114">
        <f t="shared" si="27"/>
        <v>0</v>
      </c>
      <c r="L194" s="127">
        <f t="shared" si="25"/>
        <v>147</v>
      </c>
      <c r="M194" s="27"/>
    </row>
    <row r="195" spans="1:13" ht="15.75">
      <c r="A195" s="116" t="s">
        <v>122</v>
      </c>
      <c r="B195" s="114">
        <f>SUM(B10+B26+B43+B60+B77+B94+B111+B128+B145+B162+B179)</f>
        <v>0</v>
      </c>
      <c r="C195" s="86">
        <f aca="true" t="shared" si="28" ref="C195:I195">SUM(C10+C26+C43+C60+C77+C94+C111+C128+C145+C162+C179)</f>
        <v>33</v>
      </c>
      <c r="D195" s="86">
        <f t="shared" si="28"/>
        <v>0</v>
      </c>
      <c r="E195" s="86">
        <f t="shared" si="28"/>
        <v>36</v>
      </c>
      <c r="F195" s="86">
        <f t="shared" si="28"/>
        <v>5</v>
      </c>
      <c r="G195" s="86">
        <f t="shared" si="28"/>
        <v>41</v>
      </c>
      <c r="H195" s="86">
        <f t="shared" si="28"/>
        <v>7</v>
      </c>
      <c r="I195" s="86">
        <f t="shared" si="28"/>
        <v>40</v>
      </c>
      <c r="J195" s="86">
        <f>J10+J26+J43+J60+J77+J94+J111+J128+J145+J162+J179</f>
        <v>0</v>
      </c>
      <c r="K195" s="124">
        <f>K10+K26+K43+K60+K77+K94+K111+K128+K145+K162+K179</f>
        <v>0</v>
      </c>
      <c r="L195" s="127">
        <f t="shared" si="25"/>
        <v>162</v>
      </c>
      <c r="M195" s="27"/>
    </row>
    <row r="196" spans="1:13" ht="15.75">
      <c r="A196" s="116" t="s">
        <v>176</v>
      </c>
      <c r="B196" s="114">
        <f>SUM(B11+B27+B44+B61+B78+B95+B112+B129+B146+B163+B180)</f>
        <v>16</v>
      </c>
      <c r="C196" s="114">
        <f aca="true" t="shared" si="29" ref="C196:K196">SUM(C11+C27+C44+C61+C78+C95+C112+C129+C146+C163+C180)</f>
        <v>12</v>
      </c>
      <c r="D196" s="114">
        <f t="shared" si="29"/>
        <v>2</v>
      </c>
      <c r="E196" s="114">
        <f t="shared" si="29"/>
        <v>0</v>
      </c>
      <c r="F196" s="114">
        <f t="shared" si="29"/>
        <v>2</v>
      </c>
      <c r="G196" s="114">
        <f t="shared" si="29"/>
        <v>0</v>
      </c>
      <c r="H196" s="114">
        <f t="shared" si="29"/>
        <v>2</v>
      </c>
      <c r="I196" s="114">
        <f t="shared" si="29"/>
        <v>0</v>
      </c>
      <c r="J196" s="114">
        <f t="shared" si="29"/>
        <v>0</v>
      </c>
      <c r="K196" s="114">
        <f t="shared" si="29"/>
        <v>0</v>
      </c>
      <c r="L196" s="127">
        <f t="shared" si="25"/>
        <v>34</v>
      </c>
      <c r="M196" s="27"/>
    </row>
    <row r="197" spans="1:13" ht="16.5" thickBot="1">
      <c r="A197" s="118" t="s">
        <v>128</v>
      </c>
      <c r="B197" s="170">
        <f>SUM(B12+B28+B45+B62+B79+B96+B113+B130+B147+B164+B181)</f>
        <v>18</v>
      </c>
      <c r="C197" s="170">
        <f aca="true" t="shared" si="30" ref="C197:K197">SUM(C12+C28+C45+C62+C79+C96+C113+C130+C147+C164+C181)</f>
        <v>0</v>
      </c>
      <c r="D197" s="170">
        <f t="shared" si="30"/>
        <v>11</v>
      </c>
      <c r="E197" s="170">
        <f t="shared" si="30"/>
        <v>0</v>
      </c>
      <c r="F197" s="170">
        <f t="shared" si="30"/>
        <v>9</v>
      </c>
      <c r="G197" s="170">
        <f t="shared" si="30"/>
        <v>0</v>
      </c>
      <c r="H197" s="170">
        <f t="shared" si="30"/>
        <v>8</v>
      </c>
      <c r="I197" s="170">
        <f t="shared" si="30"/>
        <v>0</v>
      </c>
      <c r="J197" s="170">
        <f t="shared" si="30"/>
        <v>0</v>
      </c>
      <c r="K197" s="170">
        <f t="shared" si="30"/>
        <v>0</v>
      </c>
      <c r="L197" s="128">
        <f t="shared" si="25"/>
        <v>46</v>
      </c>
      <c r="M197" s="27"/>
    </row>
    <row r="198" spans="1:12" ht="13.5">
      <c r="A198" s="119" t="s">
        <v>121</v>
      </c>
      <c r="B198" s="120">
        <f aca="true" t="shared" si="31" ref="B198:K198">SUM(B190:B197)</f>
        <v>224</v>
      </c>
      <c r="C198" s="171">
        <f t="shared" si="31"/>
        <v>108</v>
      </c>
      <c r="D198" s="120">
        <f t="shared" si="31"/>
        <v>393</v>
      </c>
      <c r="E198" s="171">
        <f t="shared" si="31"/>
        <v>124</v>
      </c>
      <c r="F198" s="120">
        <f t="shared" si="31"/>
        <v>288</v>
      </c>
      <c r="G198" s="171">
        <f t="shared" si="31"/>
        <v>121</v>
      </c>
      <c r="H198" s="172">
        <f t="shared" si="31"/>
        <v>231</v>
      </c>
      <c r="I198" s="121">
        <f t="shared" si="31"/>
        <v>90</v>
      </c>
      <c r="J198" s="120">
        <f t="shared" si="31"/>
        <v>0</v>
      </c>
      <c r="K198" s="171">
        <f t="shared" si="31"/>
        <v>0</v>
      </c>
      <c r="L198" s="122">
        <f>SUM(L190:L197)</f>
        <v>1579</v>
      </c>
    </row>
    <row r="199" spans="1:12" ht="14.25" thickBot="1">
      <c r="A199" s="117" t="s">
        <v>121</v>
      </c>
      <c r="B199" s="290">
        <f>SUM(B198+C198)</f>
        <v>332</v>
      </c>
      <c r="C199" s="291"/>
      <c r="D199" s="290">
        <f>SUM(D198+E198)</f>
        <v>517</v>
      </c>
      <c r="E199" s="291"/>
      <c r="F199" s="290">
        <f>SUM(F198+G198)</f>
        <v>409</v>
      </c>
      <c r="G199" s="291"/>
      <c r="H199" s="279">
        <f>SUM(H198+I198)</f>
        <v>321</v>
      </c>
      <c r="I199" s="279"/>
      <c r="J199" s="173">
        <f>SUM(J198+K198)</f>
        <v>0</v>
      </c>
      <c r="K199" s="174"/>
      <c r="L199" s="123">
        <f>SUM(B199:K199)</f>
        <v>1579</v>
      </c>
    </row>
    <row r="201" ht="14.25" thickBot="1">
      <c r="L201" s="87"/>
    </row>
    <row r="202" ht="14.25" thickBot="1">
      <c r="J202" s="90"/>
    </row>
  </sheetData>
  <sheetProtection/>
  <mergeCells count="107">
    <mergeCell ref="F155:G155"/>
    <mergeCell ref="B184:C184"/>
    <mergeCell ref="D184:E184"/>
    <mergeCell ref="F184:G184"/>
    <mergeCell ref="F172:G172"/>
    <mergeCell ref="D172:E172"/>
    <mergeCell ref="B172:C172"/>
    <mergeCell ref="B155:C155"/>
    <mergeCell ref="L188:L189"/>
    <mergeCell ref="H184:I184"/>
    <mergeCell ref="J172:K172"/>
    <mergeCell ref="H172:I172"/>
    <mergeCell ref="H188:I188"/>
    <mergeCell ref="J188:K188"/>
    <mergeCell ref="J53:K53"/>
    <mergeCell ref="A136:K136"/>
    <mergeCell ref="L172:L173"/>
    <mergeCell ref="A171:L171"/>
    <mergeCell ref="B104:C104"/>
    <mergeCell ref="J155:K155"/>
    <mergeCell ref="A153:K153"/>
    <mergeCell ref="L121:L122"/>
    <mergeCell ref="L138:L139"/>
    <mergeCell ref="L155:L156"/>
    <mergeCell ref="L53:L54"/>
    <mergeCell ref="L70:L71"/>
    <mergeCell ref="L87:L88"/>
    <mergeCell ref="L104:L105"/>
    <mergeCell ref="A86:L86"/>
    <mergeCell ref="F87:G87"/>
    <mergeCell ref="D87:E87"/>
    <mergeCell ref="D104:E104"/>
    <mergeCell ref="F104:G104"/>
    <mergeCell ref="H104:I104"/>
    <mergeCell ref="A51:K51"/>
    <mergeCell ref="A52:L52"/>
    <mergeCell ref="B36:C36"/>
    <mergeCell ref="J31:K31"/>
    <mergeCell ref="B31:C31"/>
    <mergeCell ref="D31:E31"/>
    <mergeCell ref="F31:G31"/>
    <mergeCell ref="H31:I31"/>
    <mergeCell ref="L36:L37"/>
    <mergeCell ref="A1:K1"/>
    <mergeCell ref="A2:L2"/>
    <mergeCell ref="A17:K17"/>
    <mergeCell ref="A18:L18"/>
    <mergeCell ref="F3:G3"/>
    <mergeCell ref="D3:E3"/>
    <mergeCell ref="B3:C3"/>
    <mergeCell ref="L3:L4"/>
    <mergeCell ref="J3:K3"/>
    <mergeCell ref="H3:I3"/>
    <mergeCell ref="F53:G53"/>
    <mergeCell ref="H53:I53"/>
    <mergeCell ref="B199:C199"/>
    <mergeCell ref="D199:E199"/>
    <mergeCell ref="F199:G199"/>
    <mergeCell ref="D188:E188"/>
    <mergeCell ref="F188:G188"/>
    <mergeCell ref="A170:K170"/>
    <mergeCell ref="H155:I155"/>
    <mergeCell ref="J138:K138"/>
    <mergeCell ref="B138:C138"/>
    <mergeCell ref="D155:E155"/>
    <mergeCell ref="B53:C53"/>
    <mergeCell ref="D53:E53"/>
    <mergeCell ref="A137:L137"/>
    <mergeCell ref="A154:L154"/>
    <mergeCell ref="D138:E138"/>
    <mergeCell ref="F138:G138"/>
    <mergeCell ref="H138:I138"/>
    <mergeCell ref="F121:G121"/>
    <mergeCell ref="J104:K104"/>
    <mergeCell ref="B121:C121"/>
    <mergeCell ref="J87:K87"/>
    <mergeCell ref="H87:I87"/>
    <mergeCell ref="A119:K119"/>
    <mergeCell ref="A120:L120"/>
    <mergeCell ref="H99:I99"/>
    <mergeCell ref="J121:K121"/>
    <mergeCell ref="D121:E121"/>
    <mergeCell ref="B70:C70"/>
    <mergeCell ref="D70:E70"/>
    <mergeCell ref="F70:G70"/>
    <mergeCell ref="A85:K85"/>
    <mergeCell ref="H70:I70"/>
    <mergeCell ref="J70:K70"/>
    <mergeCell ref="B19:C19"/>
    <mergeCell ref="D19:E19"/>
    <mergeCell ref="F19:G19"/>
    <mergeCell ref="J36:K36"/>
    <mergeCell ref="H36:I36"/>
    <mergeCell ref="F36:G36"/>
    <mergeCell ref="A34:K34"/>
    <mergeCell ref="A35:L35"/>
    <mergeCell ref="L19:L20"/>
    <mergeCell ref="H199:I199"/>
    <mergeCell ref="H19:I19"/>
    <mergeCell ref="D36:E36"/>
    <mergeCell ref="H121:I121"/>
    <mergeCell ref="A102:K102"/>
    <mergeCell ref="A103:L103"/>
    <mergeCell ref="A68:K68"/>
    <mergeCell ref="A69:L69"/>
    <mergeCell ref="J19:K19"/>
    <mergeCell ref="B87:C87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">
      <pane xSplit="12" ySplit="16" topLeftCell="M39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T23" sqref="T23"/>
    </sheetView>
  </sheetViews>
  <sheetFormatPr defaultColWidth="10.66015625" defaultRowHeight="13.5"/>
  <cols>
    <col min="1" max="1" width="29.5" style="0" bestFit="1" customWidth="1"/>
    <col min="2" max="10" width="9" style="0" bestFit="1" customWidth="1"/>
    <col min="11" max="11" width="8.16015625" style="0" bestFit="1" customWidth="1"/>
    <col min="12" max="12" width="8.16015625" style="0" customWidth="1"/>
    <col min="13" max="13" width="10.66015625" style="0" customWidth="1"/>
    <col min="14" max="14" width="13.5" style="207" customWidth="1"/>
  </cols>
  <sheetData>
    <row r="1" ht="9.75" customHeight="1" thickBot="1"/>
    <row r="2" spans="1:14" ht="18.75" thickBot="1">
      <c r="A2" s="298" t="s">
        <v>247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0"/>
    </row>
    <row r="3" ht="9.75" customHeight="1"/>
    <row r="4" spans="1:14" ht="21" customHeight="1">
      <c r="A4" s="208"/>
      <c r="B4" s="262" t="s">
        <v>249</v>
      </c>
      <c r="C4" s="209">
        <v>2007</v>
      </c>
      <c r="D4" s="209">
        <v>2008</v>
      </c>
      <c r="E4" s="209">
        <v>2009</v>
      </c>
      <c r="F4" s="209">
        <v>2010</v>
      </c>
      <c r="G4" s="209">
        <v>2011</v>
      </c>
      <c r="H4" s="209">
        <v>2012</v>
      </c>
      <c r="I4" s="209">
        <v>2013</v>
      </c>
      <c r="J4" s="209">
        <v>2014</v>
      </c>
      <c r="K4" s="237">
        <v>2015</v>
      </c>
      <c r="L4" s="237">
        <v>2016</v>
      </c>
      <c r="M4" s="262" t="s">
        <v>248</v>
      </c>
      <c r="N4" s="210" t="s">
        <v>121</v>
      </c>
    </row>
    <row r="5" spans="1:14" ht="15.75">
      <c r="A5" s="211" t="s">
        <v>197</v>
      </c>
      <c r="B5" s="22"/>
      <c r="C5" s="22">
        <f>6+22</f>
        <v>28</v>
      </c>
      <c r="D5" s="22">
        <f>26</f>
        <v>26</v>
      </c>
      <c r="E5" s="22">
        <v>46</v>
      </c>
      <c r="F5" s="22">
        <v>89</v>
      </c>
      <c r="G5" s="22">
        <f>82+84</f>
        <v>166</v>
      </c>
      <c r="H5" s="22">
        <f>69+84</f>
        <v>153</v>
      </c>
      <c r="I5" s="22">
        <f>88+100</f>
        <v>188</v>
      </c>
      <c r="J5" s="22">
        <f>84+104</f>
        <v>188</v>
      </c>
      <c r="K5" s="22">
        <f>53+91</f>
        <v>144</v>
      </c>
      <c r="L5" s="22">
        <f>63+66</f>
        <v>129</v>
      </c>
      <c r="M5" s="22">
        <v>12</v>
      </c>
      <c r="N5" s="212">
        <f aca="true" t="shared" si="0" ref="N5:N46">SUM(B5:M5)</f>
        <v>1169</v>
      </c>
    </row>
    <row r="6" spans="1:14" ht="15.75">
      <c r="A6" s="211" t="s">
        <v>198</v>
      </c>
      <c r="B6" s="22">
        <f>4+44+3</f>
        <v>51</v>
      </c>
      <c r="C6" s="22">
        <f>3+76+5</f>
        <v>84</v>
      </c>
      <c r="D6" s="22">
        <f>324+38+3+18+15</f>
        <v>398</v>
      </c>
      <c r="E6" s="22">
        <f>354+52+4+68+38</f>
        <v>516</v>
      </c>
      <c r="F6" s="22">
        <f>452+54+10+102+58</f>
        <v>676</v>
      </c>
      <c r="G6" s="22">
        <f>897+75+102+137+180</f>
        <v>1391</v>
      </c>
      <c r="H6" s="22">
        <f>968+104+115+160+169</f>
        <v>1516</v>
      </c>
      <c r="I6" s="22">
        <f>815+71+92+146+136</f>
        <v>1260</v>
      </c>
      <c r="J6" s="22">
        <f>936+93+93+178+152</f>
        <v>1452</v>
      </c>
      <c r="K6" s="22">
        <f>590+87+54+145+68</f>
        <v>944</v>
      </c>
      <c r="L6" s="22">
        <f>448+41+43+121+34</f>
        <v>687</v>
      </c>
      <c r="M6" s="22">
        <v>186</v>
      </c>
      <c r="N6" s="212">
        <f t="shared" si="0"/>
        <v>9161</v>
      </c>
    </row>
    <row r="7" spans="1:14" ht="15.75">
      <c r="A7" s="211" t="s">
        <v>199</v>
      </c>
      <c r="B7" s="22">
        <v>1</v>
      </c>
      <c r="C7" s="22">
        <v>12</v>
      </c>
      <c r="D7" s="22">
        <v>27</v>
      </c>
      <c r="E7" s="22">
        <v>32</v>
      </c>
      <c r="F7" s="22">
        <v>22</v>
      </c>
      <c r="G7" s="22">
        <v>33</v>
      </c>
      <c r="H7" s="22">
        <v>36</v>
      </c>
      <c r="I7" s="22">
        <v>25</v>
      </c>
      <c r="J7" s="22">
        <v>24</v>
      </c>
      <c r="K7" s="22">
        <v>16</v>
      </c>
      <c r="L7" s="22">
        <v>15</v>
      </c>
      <c r="M7" s="22"/>
      <c r="N7" s="212">
        <f t="shared" si="0"/>
        <v>243</v>
      </c>
    </row>
    <row r="8" spans="1:14" ht="15.75">
      <c r="A8" s="211" t="s">
        <v>124</v>
      </c>
      <c r="B8" s="22">
        <v>3</v>
      </c>
      <c r="C8" s="22">
        <f>354+1+5+1+1</f>
        <v>362</v>
      </c>
      <c r="D8" s="263">
        <f>439+1+1+8</f>
        <v>449</v>
      </c>
      <c r="E8" s="22">
        <f>438+5+16+3+6+3</f>
        <v>471</v>
      </c>
      <c r="F8" s="22">
        <f>483+3+21+3+1+6</f>
        <v>517</v>
      </c>
      <c r="G8" s="22">
        <f>581+5+22+3+4+5+8</f>
        <v>628</v>
      </c>
      <c r="H8" s="22">
        <f>476+6+27+1+1+11</f>
        <v>522</v>
      </c>
      <c r="I8" s="22">
        <f>489+1+8+1+4+3</f>
        <v>506</v>
      </c>
      <c r="J8" s="22">
        <f>428+9+18+2+4+1+4</f>
        <v>466</v>
      </c>
      <c r="K8" s="22">
        <f>113+8+8+2+4+2</f>
        <v>137</v>
      </c>
      <c r="L8" s="22">
        <f>35+5+5+3+4+1</f>
        <v>53</v>
      </c>
      <c r="M8" s="22">
        <v>3</v>
      </c>
      <c r="N8" s="212">
        <f t="shared" si="0"/>
        <v>4117</v>
      </c>
    </row>
    <row r="9" spans="1:14" ht="15.75">
      <c r="A9" s="265" t="s">
        <v>250</v>
      </c>
      <c r="B9" s="22"/>
      <c r="C9" s="22"/>
      <c r="D9" s="263">
        <v>119</v>
      </c>
      <c r="E9" s="22">
        <v>92</v>
      </c>
      <c r="F9" s="22">
        <v>134</v>
      </c>
      <c r="G9" s="22">
        <v>56</v>
      </c>
      <c r="H9" s="22">
        <v>51</v>
      </c>
      <c r="I9" s="22">
        <v>33</v>
      </c>
      <c r="J9" s="22">
        <v>8</v>
      </c>
      <c r="K9" s="22"/>
      <c r="L9" s="22"/>
      <c r="M9" s="22"/>
      <c r="N9" s="212">
        <f t="shared" si="0"/>
        <v>493</v>
      </c>
    </row>
    <row r="10" spans="1:14" ht="15.75">
      <c r="A10" s="211" t="s">
        <v>123</v>
      </c>
      <c r="B10" s="22"/>
      <c r="C10" s="22">
        <v>117</v>
      </c>
      <c r="D10" s="22">
        <v>147</v>
      </c>
      <c r="E10" s="22">
        <v>165</v>
      </c>
      <c r="F10" s="22">
        <v>220</v>
      </c>
      <c r="G10" s="22">
        <v>242</v>
      </c>
      <c r="H10" s="22">
        <v>246</v>
      </c>
      <c r="I10" s="22">
        <v>222</v>
      </c>
      <c r="J10" s="22">
        <v>171</v>
      </c>
      <c r="K10" s="22">
        <v>132</v>
      </c>
      <c r="L10" s="22">
        <v>91</v>
      </c>
      <c r="M10" s="22">
        <v>8</v>
      </c>
      <c r="N10" s="212">
        <f t="shared" si="0"/>
        <v>1761</v>
      </c>
    </row>
    <row r="11" spans="1:14" ht="15.75">
      <c r="A11" s="211" t="s">
        <v>231</v>
      </c>
      <c r="B11" s="22"/>
      <c r="C11" s="22"/>
      <c r="D11" s="22"/>
      <c r="E11" s="22">
        <v>1</v>
      </c>
      <c r="F11" s="22">
        <v>13</v>
      </c>
      <c r="G11" s="22">
        <v>33</v>
      </c>
      <c r="H11" s="22">
        <v>12</v>
      </c>
      <c r="I11" s="22">
        <v>9</v>
      </c>
      <c r="J11" s="22">
        <v>13</v>
      </c>
      <c r="K11" s="22">
        <v>10</v>
      </c>
      <c r="L11" s="22">
        <v>3</v>
      </c>
      <c r="M11" s="22">
        <v>3</v>
      </c>
      <c r="N11" s="212">
        <f t="shared" si="0"/>
        <v>97</v>
      </c>
    </row>
    <row r="12" spans="1:14" ht="15.75">
      <c r="A12" s="211" t="s">
        <v>200</v>
      </c>
      <c r="B12" s="22"/>
      <c r="C12" s="22"/>
      <c r="D12" s="22"/>
      <c r="E12" s="22"/>
      <c r="F12" s="22">
        <v>9</v>
      </c>
      <c r="G12" s="22">
        <v>12</v>
      </c>
      <c r="H12" s="22">
        <v>18</v>
      </c>
      <c r="I12" s="22"/>
      <c r="J12" s="22"/>
      <c r="K12" s="22"/>
      <c r="L12" s="22"/>
      <c r="M12" s="22"/>
      <c r="N12" s="212">
        <f t="shared" si="0"/>
        <v>39</v>
      </c>
    </row>
    <row r="13" spans="1:14" ht="15.75">
      <c r="A13" s="211" t="s">
        <v>201</v>
      </c>
      <c r="B13" s="22">
        <v>2</v>
      </c>
      <c r="C13" s="22">
        <v>30</v>
      </c>
      <c r="D13" s="22">
        <v>24</v>
      </c>
      <c r="E13" s="22">
        <v>36</v>
      </c>
      <c r="F13" s="22">
        <v>39</v>
      </c>
      <c r="G13" s="22">
        <v>53</v>
      </c>
      <c r="H13" s="22">
        <v>42</v>
      </c>
      <c r="I13" s="22">
        <v>37</v>
      </c>
      <c r="J13" s="22">
        <v>30</v>
      </c>
      <c r="K13" s="22">
        <v>24</v>
      </c>
      <c r="L13" s="22">
        <v>13</v>
      </c>
      <c r="M13" s="22">
        <v>2</v>
      </c>
      <c r="N13" s="212">
        <f t="shared" si="0"/>
        <v>332</v>
      </c>
    </row>
    <row r="14" spans="1:14" ht="15.75">
      <c r="A14" s="211" t="s">
        <v>238</v>
      </c>
      <c r="B14" s="22"/>
      <c r="C14" s="22"/>
      <c r="D14" s="22"/>
      <c r="E14" s="22"/>
      <c r="F14" s="22"/>
      <c r="G14" s="22">
        <v>1</v>
      </c>
      <c r="H14" s="22">
        <v>7</v>
      </c>
      <c r="I14" s="22">
        <v>8</v>
      </c>
      <c r="J14" s="22">
        <v>5</v>
      </c>
      <c r="K14" s="22">
        <v>3</v>
      </c>
      <c r="L14" s="22"/>
      <c r="M14" s="22"/>
      <c r="N14" s="212">
        <f t="shared" si="0"/>
        <v>24</v>
      </c>
    </row>
    <row r="15" spans="1:14" ht="15.75">
      <c r="A15" s="211" t="s">
        <v>202</v>
      </c>
      <c r="B15" s="22"/>
      <c r="C15" s="22">
        <v>4</v>
      </c>
      <c r="D15" s="22">
        <v>15</v>
      </c>
      <c r="E15" s="22">
        <v>16</v>
      </c>
      <c r="F15" s="22">
        <v>18</v>
      </c>
      <c r="G15" s="22">
        <v>8</v>
      </c>
      <c r="H15" s="22">
        <v>12</v>
      </c>
      <c r="I15" s="22">
        <v>8</v>
      </c>
      <c r="J15" s="22">
        <v>7</v>
      </c>
      <c r="K15" s="22">
        <v>3</v>
      </c>
      <c r="L15" s="22"/>
      <c r="M15" s="22"/>
      <c r="N15" s="212">
        <f t="shared" si="0"/>
        <v>91</v>
      </c>
    </row>
    <row r="16" spans="1:14" ht="15.75">
      <c r="A16" s="211" t="s">
        <v>203</v>
      </c>
      <c r="B16" s="22">
        <v>1482</v>
      </c>
      <c r="C16" s="22">
        <v>1482</v>
      </c>
      <c r="D16" s="22">
        <v>1730</v>
      </c>
      <c r="E16" s="22">
        <v>1730</v>
      </c>
      <c r="F16" s="22">
        <v>1490</v>
      </c>
      <c r="G16" s="22">
        <v>1490</v>
      </c>
      <c r="H16" s="22"/>
      <c r="I16" s="22"/>
      <c r="J16" s="22"/>
      <c r="K16" s="22"/>
      <c r="L16" s="22"/>
      <c r="M16" s="22"/>
      <c r="N16" s="212">
        <f t="shared" si="0"/>
        <v>9404</v>
      </c>
    </row>
    <row r="17" spans="1:14" ht="15.75">
      <c r="A17" s="211" t="s">
        <v>125</v>
      </c>
      <c r="B17" s="22">
        <v>8</v>
      </c>
      <c r="C17" s="22">
        <v>68</v>
      </c>
      <c r="D17" s="22">
        <v>89</v>
      </c>
      <c r="E17" s="22">
        <v>79</v>
      </c>
      <c r="F17" s="22">
        <v>61</v>
      </c>
      <c r="G17" s="22">
        <v>71</v>
      </c>
      <c r="H17" s="22">
        <f>77+3+1</f>
        <v>81</v>
      </c>
      <c r="I17" s="22">
        <f>142+6+1+114</f>
        <v>263</v>
      </c>
      <c r="J17" s="22">
        <f>152+7+31+90</f>
        <v>280</v>
      </c>
      <c r="K17" s="22">
        <f>62+10+15+103+70</f>
        <v>260</v>
      </c>
      <c r="L17" s="22">
        <f>33+1+34+116+92+22</f>
        <v>298</v>
      </c>
      <c r="M17" s="22">
        <f>13+20+10+3+39</f>
        <v>85</v>
      </c>
      <c r="N17" s="212">
        <f t="shared" si="0"/>
        <v>1643</v>
      </c>
    </row>
    <row r="18" spans="1:14" ht="15.75">
      <c r="A18" s="211" t="s">
        <v>204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2"/>
    </row>
    <row r="19" spans="1:14" ht="15.75">
      <c r="A19" s="211" t="s">
        <v>205</v>
      </c>
      <c r="B19" s="22">
        <v>2</v>
      </c>
      <c r="C19" s="22">
        <v>19</v>
      </c>
      <c r="D19" s="22">
        <v>21</v>
      </c>
      <c r="E19" s="22">
        <v>19</v>
      </c>
      <c r="F19" s="22">
        <f>12+21</f>
        <v>33</v>
      </c>
      <c r="G19" s="22">
        <f>19+35</f>
        <v>54</v>
      </c>
      <c r="H19" s="22">
        <f>29+31</f>
        <v>60</v>
      </c>
      <c r="I19" s="22">
        <v>42</v>
      </c>
      <c r="J19" s="22">
        <f>18+24</f>
        <v>42</v>
      </c>
      <c r="K19" s="22">
        <v>44</v>
      </c>
      <c r="L19" s="22">
        <f>18+19</f>
        <v>37</v>
      </c>
      <c r="M19" s="22">
        <v>11</v>
      </c>
      <c r="N19" s="212">
        <f t="shared" si="0"/>
        <v>384</v>
      </c>
    </row>
    <row r="20" spans="1:14" ht="15.75">
      <c r="A20" s="211" t="s">
        <v>206</v>
      </c>
      <c r="B20" s="22"/>
      <c r="C20" s="22">
        <v>3</v>
      </c>
      <c r="D20" s="22">
        <v>3</v>
      </c>
      <c r="E20" s="22">
        <v>6</v>
      </c>
      <c r="F20" s="22">
        <v>8</v>
      </c>
      <c r="G20" s="22">
        <v>6</v>
      </c>
      <c r="H20" s="22">
        <v>1</v>
      </c>
      <c r="I20" s="22">
        <v>2</v>
      </c>
      <c r="J20" s="22"/>
      <c r="K20" s="22">
        <v>1</v>
      </c>
      <c r="L20" s="22"/>
      <c r="M20" s="22"/>
      <c r="N20" s="212">
        <f t="shared" si="0"/>
        <v>30</v>
      </c>
    </row>
    <row r="21" spans="1:14" ht="15.75">
      <c r="A21" s="211" t="s">
        <v>207</v>
      </c>
      <c r="B21" s="22"/>
      <c r="C21" s="22"/>
      <c r="D21" s="22"/>
      <c r="E21" s="22"/>
      <c r="F21" s="22"/>
      <c r="G21" s="22"/>
      <c r="H21" s="22">
        <v>59</v>
      </c>
      <c r="I21" s="22">
        <v>40</v>
      </c>
      <c r="J21" s="22">
        <v>50</v>
      </c>
      <c r="K21" s="22">
        <v>48</v>
      </c>
      <c r="L21" s="22">
        <v>41</v>
      </c>
      <c r="M21" s="22">
        <v>10</v>
      </c>
      <c r="N21" s="212">
        <f t="shared" si="0"/>
        <v>248</v>
      </c>
    </row>
    <row r="22" spans="1:14" ht="15.75">
      <c r="A22" s="211" t="s">
        <v>208</v>
      </c>
      <c r="B22" s="22"/>
      <c r="C22" s="22">
        <v>7</v>
      </c>
      <c r="D22" s="22">
        <v>3</v>
      </c>
      <c r="E22" s="22">
        <v>29</v>
      </c>
      <c r="F22" s="22">
        <v>27</v>
      </c>
      <c r="G22" s="22">
        <v>42</v>
      </c>
      <c r="H22" s="22">
        <v>47</v>
      </c>
      <c r="I22" s="22">
        <v>27</v>
      </c>
      <c r="J22" s="22">
        <v>27</v>
      </c>
      <c r="K22" s="22">
        <v>5</v>
      </c>
      <c r="L22" s="22">
        <v>5</v>
      </c>
      <c r="M22" s="22"/>
      <c r="N22" s="212">
        <f t="shared" si="0"/>
        <v>219</v>
      </c>
    </row>
    <row r="23" spans="1:14" ht="15.75">
      <c r="A23" s="211" t="s">
        <v>209</v>
      </c>
      <c r="B23" s="22"/>
      <c r="C23" s="22">
        <v>7</v>
      </c>
      <c r="D23" s="22">
        <v>4</v>
      </c>
      <c r="E23" s="22">
        <v>29</v>
      </c>
      <c r="F23" s="22">
        <v>29</v>
      </c>
      <c r="G23" s="22">
        <v>28</v>
      </c>
      <c r="H23" s="22">
        <v>39</v>
      </c>
      <c r="I23" s="22">
        <v>12</v>
      </c>
      <c r="J23" s="22">
        <v>22</v>
      </c>
      <c r="K23" s="22">
        <v>5</v>
      </c>
      <c r="L23" s="22">
        <v>5</v>
      </c>
      <c r="M23" s="22"/>
      <c r="N23" s="212">
        <f t="shared" si="0"/>
        <v>180</v>
      </c>
    </row>
    <row r="24" spans="1:14" ht="15.75">
      <c r="A24" s="211" t="s">
        <v>210</v>
      </c>
      <c r="B24" s="22">
        <v>72</v>
      </c>
      <c r="C24" s="22">
        <v>100</v>
      </c>
      <c r="D24" s="22">
        <v>119</v>
      </c>
      <c r="E24" s="22">
        <v>110</v>
      </c>
      <c r="F24" s="22">
        <v>168</v>
      </c>
      <c r="G24" s="22">
        <v>163</v>
      </c>
      <c r="H24" s="22">
        <v>221</v>
      </c>
      <c r="I24" s="22">
        <v>161</v>
      </c>
      <c r="J24" s="22">
        <v>169</v>
      </c>
      <c r="K24" s="22"/>
      <c r="L24" s="22"/>
      <c r="M24" s="22"/>
      <c r="N24" s="212">
        <f t="shared" si="0"/>
        <v>1283</v>
      </c>
    </row>
    <row r="25" spans="1:14" ht="15.75">
      <c r="A25" s="211" t="s">
        <v>211</v>
      </c>
      <c r="B25" s="22"/>
      <c r="C25" s="22"/>
      <c r="D25" s="22">
        <v>53</v>
      </c>
      <c r="E25" s="22">
        <v>62</v>
      </c>
      <c r="F25" s="22">
        <v>65</v>
      </c>
      <c r="G25" s="22">
        <v>85</v>
      </c>
      <c r="H25" s="22">
        <v>73</v>
      </c>
      <c r="I25" s="22">
        <v>71</v>
      </c>
      <c r="J25" s="22">
        <v>65</v>
      </c>
      <c r="K25" s="22">
        <v>55</v>
      </c>
      <c r="L25" s="22">
        <v>48</v>
      </c>
      <c r="M25" s="22"/>
      <c r="N25" s="212">
        <f t="shared" si="0"/>
        <v>577</v>
      </c>
    </row>
    <row r="26" spans="1:14" ht="15.75">
      <c r="A26" s="211" t="s">
        <v>212</v>
      </c>
      <c r="B26" s="22"/>
      <c r="C26" s="22"/>
      <c r="D26" s="22">
        <v>3</v>
      </c>
      <c r="E26" s="22">
        <v>4</v>
      </c>
      <c r="F26" s="22">
        <v>8</v>
      </c>
      <c r="G26" s="22">
        <v>17</v>
      </c>
      <c r="H26" s="22">
        <v>3</v>
      </c>
      <c r="I26" s="22">
        <v>7</v>
      </c>
      <c r="J26" s="22">
        <v>1</v>
      </c>
      <c r="K26" s="22">
        <v>1</v>
      </c>
      <c r="L26" s="22"/>
      <c r="M26" s="22"/>
      <c r="N26" s="212">
        <f t="shared" si="0"/>
        <v>44</v>
      </c>
    </row>
    <row r="27" spans="1:14" ht="15.75">
      <c r="A27" s="211" t="s">
        <v>213</v>
      </c>
      <c r="B27" s="22"/>
      <c r="C27" s="22"/>
      <c r="D27" s="22">
        <v>14</v>
      </c>
      <c r="E27" s="22">
        <v>8</v>
      </c>
      <c r="F27" s="22">
        <v>10</v>
      </c>
      <c r="G27" s="22">
        <v>23</v>
      </c>
      <c r="H27" s="22">
        <v>7</v>
      </c>
      <c r="I27" s="22">
        <v>5</v>
      </c>
      <c r="J27" s="22">
        <v>1</v>
      </c>
      <c r="K27" s="22"/>
      <c r="L27" s="22"/>
      <c r="M27" s="22"/>
      <c r="N27" s="212">
        <f t="shared" si="0"/>
        <v>68</v>
      </c>
    </row>
    <row r="28" spans="1:14" ht="15.75">
      <c r="A28" s="211" t="s">
        <v>214</v>
      </c>
      <c r="B28" s="22">
        <f>6+14</f>
        <v>20</v>
      </c>
      <c r="C28" s="22">
        <v>92</v>
      </c>
      <c r="D28" s="22">
        <v>242</v>
      </c>
      <c r="E28" s="22">
        <v>410</v>
      </c>
      <c r="F28" s="22">
        <v>325</v>
      </c>
      <c r="G28" s="22">
        <v>115</v>
      </c>
      <c r="H28" s="22">
        <v>101</v>
      </c>
      <c r="I28" s="22">
        <v>27</v>
      </c>
      <c r="J28" s="22">
        <v>8</v>
      </c>
      <c r="K28" s="22">
        <v>1</v>
      </c>
      <c r="L28" s="22"/>
      <c r="M28" s="22"/>
      <c r="N28" s="212">
        <f t="shared" si="0"/>
        <v>1341</v>
      </c>
    </row>
    <row r="29" spans="1:14" ht="15.75">
      <c r="A29" s="211" t="s">
        <v>232</v>
      </c>
      <c r="B29" s="22"/>
      <c r="C29" s="22"/>
      <c r="D29" s="22"/>
      <c r="E29" s="22"/>
      <c r="F29" s="22"/>
      <c r="G29" s="22"/>
      <c r="H29" s="22"/>
      <c r="I29" s="22"/>
      <c r="J29" s="22">
        <v>43</v>
      </c>
      <c r="K29" s="22">
        <v>45</v>
      </c>
      <c r="L29" s="22">
        <v>41</v>
      </c>
      <c r="M29" s="22"/>
      <c r="N29" s="212">
        <f t="shared" si="0"/>
        <v>129</v>
      </c>
    </row>
    <row r="30" spans="1:14" ht="15.75">
      <c r="A30" s="211" t="s">
        <v>215</v>
      </c>
      <c r="B30" s="22"/>
      <c r="C30" s="22"/>
      <c r="D30" s="22"/>
      <c r="E30" s="22"/>
      <c r="F30" s="22">
        <v>5</v>
      </c>
      <c r="G30" s="22">
        <v>45</v>
      </c>
      <c r="H30" s="22">
        <v>81</v>
      </c>
      <c r="I30" s="22">
        <v>89</v>
      </c>
      <c r="J30" s="22">
        <v>101</v>
      </c>
      <c r="K30" s="22">
        <v>114</v>
      </c>
      <c r="L30" s="22">
        <v>97</v>
      </c>
      <c r="M30" s="22"/>
      <c r="N30" s="212">
        <f t="shared" si="0"/>
        <v>532</v>
      </c>
    </row>
    <row r="31" spans="1:14" ht="15.75">
      <c r="A31" s="211" t="s">
        <v>216</v>
      </c>
      <c r="B31" s="22"/>
      <c r="C31" s="22"/>
      <c r="D31" s="22"/>
      <c r="E31" s="22">
        <v>49</v>
      </c>
      <c r="F31" s="22">
        <v>37</v>
      </c>
      <c r="G31" s="22">
        <v>29</v>
      </c>
      <c r="H31" s="22">
        <v>28</v>
      </c>
      <c r="I31" s="22">
        <v>23</v>
      </c>
      <c r="J31" s="22">
        <v>17</v>
      </c>
      <c r="K31" s="22">
        <v>5</v>
      </c>
      <c r="L31" s="22">
        <v>10</v>
      </c>
      <c r="M31" s="22"/>
      <c r="N31" s="212">
        <f t="shared" si="0"/>
        <v>198</v>
      </c>
    </row>
    <row r="32" spans="1:14" ht="15.75">
      <c r="A32" s="211" t="s">
        <v>217</v>
      </c>
      <c r="B32" s="22"/>
      <c r="C32" s="22">
        <v>14</v>
      </c>
      <c r="D32" s="22">
        <v>21</v>
      </c>
      <c r="E32" s="22">
        <v>14</v>
      </c>
      <c r="F32" s="22">
        <v>5</v>
      </c>
      <c r="G32" s="22">
        <v>9</v>
      </c>
      <c r="H32" s="22">
        <v>23</v>
      </c>
      <c r="I32" s="22">
        <v>8</v>
      </c>
      <c r="J32" s="22">
        <v>7</v>
      </c>
      <c r="K32" s="22">
        <v>8</v>
      </c>
      <c r="L32" s="22">
        <v>1</v>
      </c>
      <c r="M32" s="22"/>
      <c r="N32" s="212">
        <f t="shared" si="0"/>
        <v>110</v>
      </c>
    </row>
    <row r="33" spans="1:14" ht="15.75">
      <c r="A33" s="211" t="s">
        <v>128</v>
      </c>
      <c r="B33" s="22">
        <v>5</v>
      </c>
      <c r="C33" s="22">
        <v>70</v>
      </c>
      <c r="D33" s="22">
        <v>68</v>
      </c>
      <c r="E33" s="22">
        <v>54</v>
      </c>
      <c r="F33" s="22">
        <v>54</v>
      </c>
      <c r="G33" s="22">
        <v>61</v>
      </c>
      <c r="H33" s="22">
        <v>57</v>
      </c>
      <c r="I33" s="22">
        <v>60</v>
      </c>
      <c r="J33" s="22">
        <v>58</v>
      </c>
      <c r="K33" s="22">
        <v>43</v>
      </c>
      <c r="L33" s="22">
        <v>21</v>
      </c>
      <c r="M33" s="22"/>
      <c r="N33" s="212">
        <f t="shared" si="0"/>
        <v>551</v>
      </c>
    </row>
    <row r="34" spans="1:14" ht="15.75">
      <c r="A34" s="211" t="s">
        <v>218</v>
      </c>
      <c r="B34" s="22">
        <v>5</v>
      </c>
      <c r="C34" s="22">
        <v>46</v>
      </c>
      <c r="D34" s="22">
        <v>38</v>
      </c>
      <c r="E34" s="22">
        <v>33</v>
      </c>
      <c r="F34" s="22">
        <v>40</v>
      </c>
      <c r="G34" s="22">
        <v>32</v>
      </c>
      <c r="H34" s="22">
        <v>34</v>
      </c>
      <c r="I34" s="22">
        <v>29</v>
      </c>
      <c r="J34" s="22">
        <v>16</v>
      </c>
      <c r="K34" s="22">
        <v>26</v>
      </c>
      <c r="L34" s="22">
        <v>17</v>
      </c>
      <c r="M34" s="22"/>
      <c r="N34" s="212">
        <f t="shared" si="0"/>
        <v>316</v>
      </c>
    </row>
    <row r="35" spans="1:14" ht="15.75">
      <c r="A35" s="211" t="s">
        <v>219</v>
      </c>
      <c r="B35" s="22"/>
      <c r="C35" s="22">
        <v>1</v>
      </c>
      <c r="D35" s="22">
        <v>4</v>
      </c>
      <c r="E35" s="22">
        <v>3</v>
      </c>
      <c r="F35" s="22">
        <v>3</v>
      </c>
      <c r="G35" s="22">
        <v>1</v>
      </c>
      <c r="H35" s="22">
        <v>5</v>
      </c>
      <c r="I35" s="22">
        <v>3</v>
      </c>
      <c r="J35" s="22">
        <v>1</v>
      </c>
      <c r="K35" s="22"/>
      <c r="L35" s="22"/>
      <c r="M35" s="22"/>
      <c r="N35" s="212">
        <f t="shared" si="0"/>
        <v>21</v>
      </c>
    </row>
    <row r="36" spans="1:14" ht="15.75">
      <c r="A36" s="211" t="s">
        <v>239</v>
      </c>
      <c r="B36" s="22"/>
      <c r="C36" s="22">
        <v>10</v>
      </c>
      <c r="D36" s="22">
        <v>12</v>
      </c>
      <c r="E36" s="22">
        <v>10</v>
      </c>
      <c r="F36" s="22">
        <v>7</v>
      </c>
      <c r="G36" s="22">
        <v>7</v>
      </c>
      <c r="H36" s="22">
        <v>8</v>
      </c>
      <c r="I36" s="22">
        <v>2</v>
      </c>
      <c r="J36" s="22">
        <v>1</v>
      </c>
      <c r="K36" s="22"/>
      <c r="L36" s="22"/>
      <c r="M36" s="22"/>
      <c r="N36" s="212">
        <f t="shared" si="0"/>
        <v>57</v>
      </c>
    </row>
    <row r="37" spans="1:14" ht="15.75">
      <c r="A37" s="211" t="s">
        <v>220</v>
      </c>
      <c r="B37" s="22"/>
      <c r="C37" s="22"/>
      <c r="D37" s="22"/>
      <c r="E37" s="22">
        <v>30</v>
      </c>
      <c r="F37" s="22">
        <v>20</v>
      </c>
      <c r="G37" s="22">
        <v>28</v>
      </c>
      <c r="H37" s="22">
        <v>38</v>
      </c>
      <c r="I37" s="22">
        <v>28</v>
      </c>
      <c r="J37" s="22">
        <v>33</v>
      </c>
      <c r="K37" s="22">
        <v>31</v>
      </c>
      <c r="L37" s="22">
        <v>22</v>
      </c>
      <c r="M37" s="22"/>
      <c r="N37" s="212">
        <f t="shared" si="0"/>
        <v>230</v>
      </c>
    </row>
    <row r="38" spans="1:14" ht="15.75">
      <c r="A38" s="211" t="s">
        <v>221</v>
      </c>
      <c r="B38" s="22"/>
      <c r="C38" s="22">
        <v>60</v>
      </c>
      <c r="D38" s="22">
        <v>75</v>
      </c>
      <c r="E38" s="22">
        <v>88</v>
      </c>
      <c r="F38" s="22">
        <v>82</v>
      </c>
      <c r="G38" s="22">
        <v>92</v>
      </c>
      <c r="H38" s="22">
        <v>75</v>
      </c>
      <c r="I38" s="22">
        <v>53</v>
      </c>
      <c r="J38" s="22">
        <v>35</v>
      </c>
      <c r="K38" s="22"/>
      <c r="L38" s="22"/>
      <c r="M38" s="22"/>
      <c r="N38" s="212">
        <f t="shared" si="0"/>
        <v>560</v>
      </c>
    </row>
    <row r="39" spans="1:14" ht="15.75">
      <c r="A39" s="211" t="s">
        <v>222</v>
      </c>
      <c r="B39" s="22"/>
      <c r="C39" s="22">
        <v>7</v>
      </c>
      <c r="D39" s="22">
        <v>11</v>
      </c>
      <c r="E39" s="22">
        <v>12</v>
      </c>
      <c r="F39" s="22">
        <v>15</v>
      </c>
      <c r="G39" s="22">
        <v>22</v>
      </c>
      <c r="H39" s="22">
        <v>16</v>
      </c>
      <c r="I39" s="22">
        <v>9</v>
      </c>
      <c r="J39" s="22">
        <v>3</v>
      </c>
      <c r="K39" s="22"/>
      <c r="L39" s="22"/>
      <c r="M39" s="22"/>
      <c r="N39" s="212">
        <f t="shared" si="0"/>
        <v>95</v>
      </c>
    </row>
    <row r="40" spans="1:14" ht="15.75">
      <c r="A40" s="211" t="s">
        <v>233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12">
        <f t="shared" si="0"/>
        <v>0</v>
      </c>
    </row>
    <row r="41" spans="1:14" ht="15.75">
      <c r="A41" s="211" t="s">
        <v>223</v>
      </c>
      <c r="B41" s="22">
        <v>4</v>
      </c>
      <c r="C41" s="22">
        <v>12</v>
      </c>
      <c r="D41" s="22">
        <v>14</v>
      </c>
      <c r="E41" s="22">
        <v>10</v>
      </c>
      <c r="F41" s="22">
        <v>6</v>
      </c>
      <c r="G41" s="22">
        <v>10</v>
      </c>
      <c r="H41" s="22">
        <v>1</v>
      </c>
      <c r="I41" s="22">
        <v>5</v>
      </c>
      <c r="J41" s="22">
        <v>4</v>
      </c>
      <c r="K41" s="22">
        <v>2</v>
      </c>
      <c r="L41" s="22"/>
      <c r="M41" s="22"/>
      <c r="N41" s="212">
        <f t="shared" si="0"/>
        <v>68</v>
      </c>
    </row>
    <row r="42" spans="1:14" ht="15.75">
      <c r="A42" s="211" t="s">
        <v>224</v>
      </c>
      <c r="B42" s="22"/>
      <c r="C42" s="22"/>
      <c r="D42" s="22">
        <v>26</v>
      </c>
      <c r="E42" s="22">
        <v>19</v>
      </c>
      <c r="F42" s="22">
        <v>20</v>
      </c>
      <c r="G42" s="22">
        <v>33</v>
      </c>
      <c r="H42" s="22">
        <v>27</v>
      </c>
      <c r="I42" s="22">
        <v>45</v>
      </c>
      <c r="J42" s="22">
        <v>31</v>
      </c>
      <c r="K42" s="22">
        <v>26</v>
      </c>
      <c r="L42" s="22">
        <v>31</v>
      </c>
      <c r="M42" s="22"/>
      <c r="N42" s="212">
        <f t="shared" si="0"/>
        <v>258</v>
      </c>
    </row>
    <row r="43" spans="1:14" ht="15.75">
      <c r="A43" s="211" t="s">
        <v>225</v>
      </c>
      <c r="B43" s="22"/>
      <c r="C43" s="22"/>
      <c r="D43" s="22"/>
      <c r="E43" s="22"/>
      <c r="F43" s="22">
        <v>4</v>
      </c>
      <c r="G43" s="22"/>
      <c r="H43" s="22">
        <v>5</v>
      </c>
      <c r="I43" s="22"/>
      <c r="J43" s="22"/>
      <c r="K43" s="22"/>
      <c r="L43" s="22"/>
      <c r="M43" s="22"/>
      <c r="N43" s="212">
        <f t="shared" si="0"/>
        <v>9</v>
      </c>
    </row>
    <row r="44" spans="1:14" ht="15.75">
      <c r="A44" s="211" t="s">
        <v>122</v>
      </c>
      <c r="B44" s="22"/>
      <c r="C44" s="22">
        <v>219</v>
      </c>
      <c r="D44" s="22">
        <v>312</v>
      </c>
      <c r="E44" s="22">
        <v>370</v>
      </c>
      <c r="F44" s="22">
        <v>268</v>
      </c>
      <c r="G44" s="22">
        <v>197</v>
      </c>
      <c r="H44" s="22">
        <v>130</v>
      </c>
      <c r="I44" s="22">
        <v>116</v>
      </c>
      <c r="J44" s="22">
        <v>79</v>
      </c>
      <c r="K44" s="22">
        <v>67</v>
      </c>
      <c r="L44" s="22">
        <v>30</v>
      </c>
      <c r="M44" s="22">
        <v>1</v>
      </c>
      <c r="N44" s="212">
        <f t="shared" si="0"/>
        <v>1789</v>
      </c>
    </row>
    <row r="45" spans="1:14" ht="15.75">
      <c r="A45" s="211" t="s">
        <v>226</v>
      </c>
      <c r="B45" s="22"/>
      <c r="C45" s="22">
        <v>159</v>
      </c>
      <c r="D45" s="22">
        <v>237</v>
      </c>
      <c r="E45" s="22">
        <v>261</v>
      </c>
      <c r="F45" s="22">
        <v>226</v>
      </c>
      <c r="G45" s="22">
        <v>199</v>
      </c>
      <c r="H45" s="22">
        <v>150</v>
      </c>
      <c r="I45" s="22">
        <v>128</v>
      </c>
      <c r="J45" s="22">
        <v>59</v>
      </c>
      <c r="K45" s="22">
        <v>91</v>
      </c>
      <c r="L45" s="22">
        <v>55</v>
      </c>
      <c r="M45" s="22"/>
      <c r="N45" s="212">
        <f t="shared" si="0"/>
        <v>1565</v>
      </c>
    </row>
    <row r="46" spans="1:14" s="207" customFormat="1" ht="19.5" customHeight="1">
      <c r="A46" s="210" t="s">
        <v>121</v>
      </c>
      <c r="B46" s="212">
        <f>SUM(B5:B45)</f>
        <v>1655</v>
      </c>
      <c r="C46" s="212">
        <f aca="true" t="shared" si="1" ref="C46:M46">SUM(C5:C45)</f>
        <v>3013</v>
      </c>
      <c r="D46" s="212">
        <f t="shared" si="1"/>
        <v>4304</v>
      </c>
      <c r="E46" s="212">
        <f t="shared" si="1"/>
        <v>4814</v>
      </c>
      <c r="F46" s="212">
        <f t="shared" si="1"/>
        <v>4753</v>
      </c>
      <c r="G46" s="212">
        <f t="shared" si="1"/>
        <v>5482</v>
      </c>
      <c r="H46" s="212">
        <f t="shared" si="1"/>
        <v>3985</v>
      </c>
      <c r="I46" s="212">
        <f t="shared" si="1"/>
        <v>3551</v>
      </c>
      <c r="J46" s="212">
        <f t="shared" si="1"/>
        <v>3517</v>
      </c>
      <c r="K46" s="212">
        <f t="shared" si="1"/>
        <v>2291</v>
      </c>
      <c r="L46" s="212">
        <f t="shared" si="1"/>
        <v>1750</v>
      </c>
      <c r="M46" s="212">
        <f t="shared" si="1"/>
        <v>321</v>
      </c>
      <c r="N46" s="212">
        <f t="shared" si="0"/>
        <v>39436</v>
      </c>
    </row>
  </sheetData>
  <sheetProtection/>
  <mergeCells count="1">
    <mergeCell ref="A2:N2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26">
      <selection activeCell="B20" sqref="B20"/>
    </sheetView>
  </sheetViews>
  <sheetFormatPr defaultColWidth="10.66015625" defaultRowHeight="13.5"/>
  <cols>
    <col min="1" max="1" width="29.5" style="0" bestFit="1" customWidth="1"/>
    <col min="2" max="2" width="23.83203125" style="0" customWidth="1"/>
    <col min="3" max="3" width="26.16015625" style="0" customWidth="1"/>
    <col min="4" max="4" width="24.33203125" style="213" customWidth="1"/>
    <col min="5" max="12" width="22.5" style="0" customWidth="1"/>
  </cols>
  <sheetData>
    <row r="1" ht="9.75" customHeight="1" thickBot="1"/>
    <row r="2" spans="1:4" ht="18" customHeight="1" thickBot="1">
      <c r="A2" s="298" t="s">
        <v>227</v>
      </c>
      <c r="B2" s="299"/>
      <c r="C2" s="299"/>
      <c r="D2" s="300"/>
    </row>
    <row r="3" spans="1:4" ht="1.5" customHeight="1" thickBot="1">
      <c r="A3" s="214"/>
      <c r="B3" s="215"/>
      <c r="C3" s="215"/>
      <c r="D3" s="216"/>
    </row>
    <row r="4" spans="1:4" ht="18" customHeight="1" thickBot="1">
      <c r="A4" s="298" t="s">
        <v>245</v>
      </c>
      <c r="B4" s="299"/>
      <c r="C4" s="299"/>
      <c r="D4" s="300"/>
    </row>
    <row r="5" ht="43.5" customHeight="1"/>
    <row r="6" spans="1:4" ht="21" customHeight="1">
      <c r="A6" s="208"/>
      <c r="B6" s="232" t="s">
        <v>129</v>
      </c>
      <c r="C6" s="232" t="s">
        <v>130</v>
      </c>
      <c r="D6" s="217" t="s">
        <v>121</v>
      </c>
    </row>
    <row r="7" spans="1:4" ht="15.75">
      <c r="A7" s="211" t="s">
        <v>197</v>
      </c>
      <c r="B7" s="19">
        <f>112+134</f>
        <v>246</v>
      </c>
      <c r="C7" s="19">
        <f>395+528</f>
        <v>923</v>
      </c>
      <c r="D7" s="218">
        <f aca="true" t="shared" si="0" ref="D7:D47">SUM(B7:C7)</f>
        <v>1169</v>
      </c>
    </row>
    <row r="8" spans="1:4" ht="15.75">
      <c r="A8" s="211" t="s">
        <v>198</v>
      </c>
      <c r="B8" s="19">
        <f>2715+272+305+3+616+378+3</f>
        <v>4292</v>
      </c>
      <c r="C8" s="19">
        <f>3076+343+331+645+472+2</f>
        <v>4869</v>
      </c>
      <c r="D8" s="218">
        <f t="shared" si="0"/>
        <v>9161</v>
      </c>
    </row>
    <row r="9" spans="1:4" ht="15.75">
      <c r="A9" s="211" t="s">
        <v>199</v>
      </c>
      <c r="B9" s="19">
        <v>111</v>
      </c>
      <c r="C9" s="19">
        <v>132</v>
      </c>
      <c r="D9" s="218">
        <f t="shared" si="0"/>
        <v>243</v>
      </c>
    </row>
    <row r="10" spans="1:4" ht="15.75">
      <c r="A10" s="211" t="s">
        <v>124</v>
      </c>
      <c r="B10" s="19">
        <f>1791+14+42+3+6+4+23</f>
        <v>1883</v>
      </c>
      <c r="C10" s="19">
        <f>2048+30+92+15+27+8+14</f>
        <v>2234</v>
      </c>
      <c r="D10" s="218">
        <f t="shared" si="0"/>
        <v>4117</v>
      </c>
    </row>
    <row r="11" spans="1:4" ht="15.75">
      <c r="A11" s="265" t="s">
        <v>250</v>
      </c>
      <c r="B11" s="19">
        <v>242</v>
      </c>
      <c r="C11" s="19">
        <v>251</v>
      </c>
      <c r="D11" s="218">
        <f t="shared" si="0"/>
        <v>493</v>
      </c>
    </row>
    <row r="12" spans="1:4" ht="15.75">
      <c r="A12" s="211" t="s">
        <v>123</v>
      </c>
      <c r="B12" s="19">
        <v>754</v>
      </c>
      <c r="C12" s="19">
        <v>1007</v>
      </c>
      <c r="D12" s="218">
        <f t="shared" si="0"/>
        <v>1761</v>
      </c>
    </row>
    <row r="13" spans="1:4" ht="15.75">
      <c r="A13" s="211" t="s">
        <v>231</v>
      </c>
      <c r="B13" s="19">
        <v>27</v>
      </c>
      <c r="C13" s="19">
        <v>70</v>
      </c>
      <c r="D13" s="218">
        <f t="shared" si="0"/>
        <v>97</v>
      </c>
    </row>
    <row r="14" spans="1:4" ht="15.75">
      <c r="A14" s="211" t="s">
        <v>200</v>
      </c>
      <c r="B14" s="19">
        <v>17</v>
      </c>
      <c r="C14" s="19">
        <v>22</v>
      </c>
      <c r="D14" s="218">
        <f t="shared" si="0"/>
        <v>39</v>
      </c>
    </row>
    <row r="15" spans="1:4" ht="15.75">
      <c r="A15" s="211" t="s">
        <v>201</v>
      </c>
      <c r="B15" s="19">
        <v>59</v>
      </c>
      <c r="C15" s="19">
        <v>273</v>
      </c>
      <c r="D15" s="218">
        <f t="shared" si="0"/>
        <v>332</v>
      </c>
    </row>
    <row r="16" spans="1:4" ht="15.75">
      <c r="A16" s="211" t="s">
        <v>238</v>
      </c>
      <c r="B16" s="19">
        <v>18</v>
      </c>
      <c r="C16" s="19">
        <v>6</v>
      </c>
      <c r="D16" s="218">
        <f t="shared" si="0"/>
        <v>24</v>
      </c>
    </row>
    <row r="17" spans="1:4" ht="15.75">
      <c r="A17" s="211" t="s">
        <v>202</v>
      </c>
      <c r="B17" s="19">
        <v>53</v>
      </c>
      <c r="C17" s="19">
        <v>38</v>
      </c>
      <c r="D17" s="218">
        <f t="shared" si="0"/>
        <v>91</v>
      </c>
    </row>
    <row r="18" spans="1:4" ht="15.75">
      <c r="A18" s="211" t="s">
        <v>203</v>
      </c>
      <c r="B18" s="19"/>
      <c r="C18" s="19">
        <v>9404</v>
      </c>
      <c r="D18" s="218">
        <f t="shared" si="0"/>
        <v>9404</v>
      </c>
    </row>
    <row r="19" spans="1:4" ht="15.75">
      <c r="A19" s="211" t="s">
        <v>125</v>
      </c>
      <c r="B19" s="19">
        <f>170+4+33+8</f>
        <v>215</v>
      </c>
      <c r="C19" s="19">
        <f>685+24+97+403+158+61</f>
        <v>1428</v>
      </c>
      <c r="D19" s="218">
        <f t="shared" si="0"/>
        <v>1643</v>
      </c>
    </row>
    <row r="20" spans="1:4" ht="15.75">
      <c r="A20" s="211" t="s">
        <v>204</v>
      </c>
      <c r="B20" s="19"/>
      <c r="C20" s="19"/>
      <c r="D20" s="218">
        <f t="shared" si="0"/>
        <v>0</v>
      </c>
    </row>
    <row r="21" spans="1:4" ht="15.75">
      <c r="A21" s="211" t="s">
        <v>205</v>
      </c>
      <c r="B21" s="19">
        <v>383</v>
      </c>
      <c r="C21" s="19">
        <v>1</v>
      </c>
      <c r="D21" s="218">
        <f t="shared" si="0"/>
        <v>384</v>
      </c>
    </row>
    <row r="22" spans="1:4" ht="15.75">
      <c r="A22" s="211" t="s">
        <v>206</v>
      </c>
      <c r="B22" s="19">
        <v>11</v>
      </c>
      <c r="C22" s="19">
        <v>19</v>
      </c>
      <c r="D22" s="218">
        <f t="shared" si="0"/>
        <v>30</v>
      </c>
    </row>
    <row r="23" spans="1:4" ht="15.75">
      <c r="A23" s="211" t="s">
        <v>207</v>
      </c>
      <c r="B23" s="19">
        <v>121</v>
      </c>
      <c r="C23" s="19">
        <v>127</v>
      </c>
      <c r="D23" s="218">
        <f t="shared" si="0"/>
        <v>248</v>
      </c>
    </row>
    <row r="24" spans="1:4" ht="15.75">
      <c r="A24" s="211" t="s">
        <v>208</v>
      </c>
      <c r="B24" s="19">
        <v>82</v>
      </c>
      <c r="C24" s="19">
        <v>137</v>
      </c>
      <c r="D24" s="218">
        <f t="shared" si="0"/>
        <v>219</v>
      </c>
    </row>
    <row r="25" spans="1:4" ht="15.75">
      <c r="A25" s="211" t="s">
        <v>209</v>
      </c>
      <c r="B25" s="19">
        <v>77</v>
      </c>
      <c r="C25" s="19">
        <v>103</v>
      </c>
      <c r="D25" s="218">
        <f t="shared" si="0"/>
        <v>180</v>
      </c>
    </row>
    <row r="26" spans="1:4" ht="15.75">
      <c r="A26" s="211" t="s">
        <v>210</v>
      </c>
      <c r="B26" s="19">
        <v>452</v>
      </c>
      <c r="C26" s="19">
        <v>831</v>
      </c>
      <c r="D26" s="218">
        <f t="shared" si="0"/>
        <v>1283</v>
      </c>
    </row>
    <row r="27" spans="1:4" ht="15.75">
      <c r="A27" s="211" t="s">
        <v>211</v>
      </c>
      <c r="B27" s="19">
        <v>232</v>
      </c>
      <c r="C27" s="19">
        <v>345</v>
      </c>
      <c r="D27" s="218">
        <f t="shared" si="0"/>
        <v>577</v>
      </c>
    </row>
    <row r="28" spans="1:4" ht="15.75">
      <c r="A28" s="211" t="s">
        <v>212</v>
      </c>
      <c r="B28" s="19">
        <v>34</v>
      </c>
      <c r="C28" s="19">
        <v>10</v>
      </c>
      <c r="D28" s="218">
        <f t="shared" si="0"/>
        <v>44</v>
      </c>
    </row>
    <row r="29" spans="1:4" ht="15.75">
      <c r="A29" s="211" t="s">
        <v>213</v>
      </c>
      <c r="B29" s="19">
        <v>68</v>
      </c>
      <c r="C29" s="19"/>
      <c r="D29" s="218">
        <f t="shared" si="0"/>
        <v>68</v>
      </c>
    </row>
    <row r="30" spans="1:4" ht="15.75">
      <c r="A30" s="211" t="s">
        <v>214</v>
      </c>
      <c r="B30" s="19">
        <v>653</v>
      </c>
      <c r="C30" s="19">
        <v>688</v>
      </c>
      <c r="D30" s="218">
        <f t="shared" si="0"/>
        <v>1341</v>
      </c>
    </row>
    <row r="31" spans="1:4" ht="15.75">
      <c r="A31" s="211" t="s">
        <v>232</v>
      </c>
      <c r="B31" s="19">
        <v>124</v>
      </c>
      <c r="C31" s="19">
        <v>5</v>
      </c>
      <c r="D31" s="218">
        <f t="shared" si="0"/>
        <v>129</v>
      </c>
    </row>
    <row r="32" spans="1:4" ht="15.75">
      <c r="A32" s="211" t="s">
        <v>215</v>
      </c>
      <c r="B32" s="19">
        <f>419+1</f>
        <v>420</v>
      </c>
      <c r="C32" s="19">
        <f>108+4</f>
        <v>112</v>
      </c>
      <c r="D32" s="218">
        <f t="shared" si="0"/>
        <v>532</v>
      </c>
    </row>
    <row r="33" spans="1:4" ht="15.75">
      <c r="A33" s="211" t="s">
        <v>216</v>
      </c>
      <c r="B33" s="19">
        <v>71</v>
      </c>
      <c r="C33" s="19">
        <v>127</v>
      </c>
      <c r="D33" s="218">
        <f t="shared" si="0"/>
        <v>198</v>
      </c>
    </row>
    <row r="34" spans="1:4" ht="15.75">
      <c r="A34" s="211" t="s">
        <v>217</v>
      </c>
      <c r="B34" s="19">
        <v>48</v>
      </c>
      <c r="C34" s="19">
        <v>62</v>
      </c>
      <c r="D34" s="218">
        <f t="shared" si="0"/>
        <v>110</v>
      </c>
    </row>
    <row r="35" spans="1:4" ht="15.75">
      <c r="A35" s="211" t="s">
        <v>128</v>
      </c>
      <c r="B35" s="19">
        <v>122</v>
      </c>
      <c r="C35" s="19">
        <v>429</v>
      </c>
      <c r="D35" s="218">
        <f t="shared" si="0"/>
        <v>551</v>
      </c>
    </row>
    <row r="36" spans="1:4" ht="15.75">
      <c r="A36" s="211" t="s">
        <v>218</v>
      </c>
      <c r="B36" s="19">
        <v>70</v>
      </c>
      <c r="C36" s="19">
        <v>246</v>
      </c>
      <c r="D36" s="218">
        <f t="shared" si="0"/>
        <v>316</v>
      </c>
    </row>
    <row r="37" spans="1:4" ht="15.75">
      <c r="A37" s="211" t="s">
        <v>219</v>
      </c>
      <c r="B37" s="19">
        <v>9</v>
      </c>
      <c r="C37" s="19">
        <v>12</v>
      </c>
      <c r="D37" s="218">
        <f t="shared" si="0"/>
        <v>21</v>
      </c>
    </row>
    <row r="38" spans="1:4" ht="15.75">
      <c r="A38" s="211" t="s">
        <v>239</v>
      </c>
      <c r="B38" s="19">
        <v>20</v>
      </c>
      <c r="C38" s="19">
        <v>37</v>
      </c>
      <c r="D38" s="218">
        <f t="shared" si="0"/>
        <v>57</v>
      </c>
    </row>
    <row r="39" spans="1:4" ht="15.75">
      <c r="A39" s="211" t="s">
        <v>220</v>
      </c>
      <c r="B39" s="19">
        <v>116</v>
      </c>
      <c r="C39" s="19">
        <v>114</v>
      </c>
      <c r="D39" s="218">
        <f t="shared" si="0"/>
        <v>230</v>
      </c>
    </row>
    <row r="40" spans="1:4" ht="15.75">
      <c r="A40" s="211" t="s">
        <v>221</v>
      </c>
      <c r="B40" s="19">
        <v>215</v>
      </c>
      <c r="C40" s="19">
        <v>345</v>
      </c>
      <c r="D40" s="218">
        <f t="shared" si="0"/>
        <v>560</v>
      </c>
    </row>
    <row r="41" spans="1:4" ht="15.75">
      <c r="A41" s="211" t="s">
        <v>222</v>
      </c>
      <c r="B41" s="19">
        <f>23+12</f>
        <v>35</v>
      </c>
      <c r="C41" s="19">
        <f>40+20</f>
        <v>60</v>
      </c>
      <c r="D41" s="218">
        <f t="shared" si="0"/>
        <v>95</v>
      </c>
    </row>
    <row r="42" spans="1:4" ht="15.75">
      <c r="A42" s="211" t="s">
        <v>233</v>
      </c>
      <c r="B42" s="19"/>
      <c r="C42" s="19"/>
      <c r="D42" s="218">
        <f t="shared" si="0"/>
        <v>0</v>
      </c>
    </row>
    <row r="43" spans="1:4" ht="15.75">
      <c r="A43" s="211" t="s">
        <v>223</v>
      </c>
      <c r="B43" s="19">
        <v>40</v>
      </c>
      <c r="C43" s="19">
        <v>28</v>
      </c>
      <c r="D43" s="218">
        <f t="shared" si="0"/>
        <v>68</v>
      </c>
    </row>
    <row r="44" spans="1:4" ht="15.75">
      <c r="A44" s="211" t="s">
        <v>224</v>
      </c>
      <c r="B44" s="19">
        <v>97</v>
      </c>
      <c r="C44" s="19">
        <v>161</v>
      </c>
      <c r="D44" s="218">
        <f t="shared" si="0"/>
        <v>258</v>
      </c>
    </row>
    <row r="45" spans="1:4" ht="15.75">
      <c r="A45" s="211" t="s">
        <v>225</v>
      </c>
      <c r="B45" s="19">
        <v>3</v>
      </c>
      <c r="C45" s="19">
        <v>6</v>
      </c>
      <c r="D45" s="218">
        <f t="shared" si="0"/>
        <v>9</v>
      </c>
    </row>
    <row r="46" spans="1:4" ht="15.75">
      <c r="A46" s="211" t="s">
        <v>122</v>
      </c>
      <c r="B46" s="19">
        <v>1579</v>
      </c>
      <c r="C46" s="19">
        <v>210</v>
      </c>
      <c r="D46" s="218">
        <f t="shared" si="0"/>
        <v>1789</v>
      </c>
    </row>
    <row r="47" spans="1:4" ht="15.75">
      <c r="A47" s="211" t="s">
        <v>226</v>
      </c>
      <c r="B47" s="19">
        <v>1410</v>
      </c>
      <c r="C47" s="19">
        <v>155</v>
      </c>
      <c r="D47" s="218">
        <f t="shared" si="0"/>
        <v>1565</v>
      </c>
    </row>
    <row r="48" spans="1:5" s="207" customFormat="1" ht="19.5" customHeight="1">
      <c r="A48" s="210" t="s">
        <v>121</v>
      </c>
      <c r="B48" s="218">
        <f>SUM(B7:B47)</f>
        <v>14409</v>
      </c>
      <c r="C48" s="218">
        <f>SUM(C7:C47)</f>
        <v>25027</v>
      </c>
      <c r="D48" s="218">
        <f>SUM(D7:D47)</f>
        <v>39436</v>
      </c>
      <c r="E48" s="219"/>
    </row>
  </sheetData>
  <sheetProtection/>
  <mergeCells count="2">
    <mergeCell ref="A2:D2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90" zoomScaleNormal="90" zoomScalePageLayoutView="0" workbookViewId="0" topLeftCell="A1">
      <pane xSplit="1" ySplit="3" topLeftCell="B7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12" defaultRowHeight="13.5"/>
  <cols>
    <col min="1" max="1" width="34.5" style="0" customWidth="1"/>
    <col min="2" max="2" width="13.33203125" style="178" customWidth="1"/>
    <col min="3" max="3" width="12.33203125" style="178" customWidth="1"/>
    <col min="4" max="5" width="13.33203125" style="178" customWidth="1"/>
    <col min="6" max="6" width="12" style="178" customWidth="1"/>
    <col min="7" max="7" width="12" style="206" customWidth="1"/>
    <col min="8" max="8" width="17.16015625" style="0" bestFit="1" customWidth="1"/>
    <col min="9" max="9" width="15" style="0" customWidth="1"/>
  </cols>
  <sheetData>
    <row r="1" spans="1:9" ht="19.5" thickBot="1">
      <c r="A1" s="245" t="s">
        <v>252</v>
      </c>
      <c r="B1" s="246"/>
      <c r="C1" s="246"/>
      <c r="D1" s="246"/>
      <c r="E1" s="246"/>
      <c r="F1" s="246"/>
      <c r="G1" s="246"/>
      <c r="H1" s="250"/>
      <c r="I1" s="247"/>
    </row>
    <row r="2" spans="1:9" ht="17.25" customHeight="1" thickBot="1">
      <c r="A2" s="251" t="s">
        <v>253</v>
      </c>
      <c r="B2" s="253" t="s">
        <v>254</v>
      </c>
      <c r="C2" s="254"/>
      <c r="D2" s="253" t="s">
        <v>126</v>
      </c>
      <c r="E2" s="254"/>
      <c r="F2" s="255" t="s">
        <v>127</v>
      </c>
      <c r="G2" s="256"/>
      <c r="H2" s="257" t="s">
        <v>121</v>
      </c>
      <c r="I2" s="258"/>
    </row>
    <row r="3" spans="1:9" ht="16.5" customHeight="1">
      <c r="A3" s="252"/>
      <c r="B3" s="188" t="s">
        <v>255</v>
      </c>
      <c r="C3" s="188" t="s">
        <v>256</v>
      </c>
      <c r="D3" s="188" t="s">
        <v>255</v>
      </c>
      <c r="E3" s="188" t="s">
        <v>256</v>
      </c>
      <c r="F3" s="188" t="s">
        <v>255</v>
      </c>
      <c r="G3" s="189" t="s">
        <v>256</v>
      </c>
      <c r="H3" s="48" t="s">
        <v>257</v>
      </c>
      <c r="I3" s="48" t="s">
        <v>258</v>
      </c>
    </row>
    <row r="4" spans="1:9" ht="15.75">
      <c r="A4" s="46" t="s">
        <v>30</v>
      </c>
      <c r="B4" s="239"/>
      <c r="C4" s="239">
        <v>0</v>
      </c>
      <c r="D4" s="239"/>
      <c r="E4" s="239">
        <v>0</v>
      </c>
      <c r="F4" s="239"/>
      <c r="G4" s="240">
        <v>0</v>
      </c>
      <c r="H4" s="241">
        <v>0</v>
      </c>
      <c r="I4" s="241">
        <v>0</v>
      </c>
    </row>
    <row r="5" spans="1:9" ht="15.75">
      <c r="A5" s="46" t="s">
        <v>31</v>
      </c>
      <c r="B5" s="239">
        <v>1</v>
      </c>
      <c r="C5" s="239">
        <v>12</v>
      </c>
      <c r="D5" s="239"/>
      <c r="E5" s="239">
        <v>0</v>
      </c>
      <c r="F5" s="239"/>
      <c r="G5" s="240">
        <v>0</v>
      </c>
      <c r="H5" s="241">
        <v>1</v>
      </c>
      <c r="I5" s="241">
        <v>12</v>
      </c>
    </row>
    <row r="6" spans="1:9" ht="15.75">
      <c r="A6" s="46" t="s">
        <v>32</v>
      </c>
      <c r="B6" s="239"/>
      <c r="C6" s="239">
        <v>0</v>
      </c>
      <c r="D6" s="239"/>
      <c r="E6" s="239">
        <v>0</v>
      </c>
      <c r="F6" s="239"/>
      <c r="G6" s="240">
        <v>0</v>
      </c>
      <c r="H6" s="241">
        <v>0</v>
      </c>
      <c r="I6" s="241">
        <v>0</v>
      </c>
    </row>
    <row r="7" spans="1:9" ht="15.75">
      <c r="A7" s="46" t="s">
        <v>33</v>
      </c>
      <c r="B7" s="239">
        <v>21</v>
      </c>
      <c r="C7" s="239">
        <v>252</v>
      </c>
      <c r="D7" s="239">
        <v>14</v>
      </c>
      <c r="E7" s="239">
        <v>280</v>
      </c>
      <c r="F7" s="239">
        <v>13</v>
      </c>
      <c r="G7" s="240">
        <v>260</v>
      </c>
      <c r="H7" s="241">
        <v>48</v>
      </c>
      <c r="I7" s="241">
        <v>792</v>
      </c>
    </row>
    <row r="8" spans="1:9" ht="15.75">
      <c r="A8" s="46" t="s">
        <v>34</v>
      </c>
      <c r="B8" s="239"/>
      <c r="C8" s="239">
        <v>0</v>
      </c>
      <c r="D8" s="239"/>
      <c r="E8" s="239">
        <v>0</v>
      </c>
      <c r="F8" s="239"/>
      <c r="G8" s="240">
        <v>0</v>
      </c>
      <c r="H8" s="241">
        <v>0</v>
      </c>
      <c r="I8" s="241">
        <v>0</v>
      </c>
    </row>
    <row r="9" spans="1:12" ht="15.75">
      <c r="A9" s="46" t="s">
        <v>35</v>
      </c>
      <c r="B9" s="239"/>
      <c r="C9" s="239">
        <v>0</v>
      </c>
      <c r="D9" s="239"/>
      <c r="E9" s="239">
        <v>0</v>
      </c>
      <c r="F9" s="239"/>
      <c r="G9" s="240">
        <v>0</v>
      </c>
      <c r="H9" s="241">
        <v>0</v>
      </c>
      <c r="I9" s="241">
        <v>0</v>
      </c>
      <c r="J9" t="s">
        <v>259</v>
      </c>
      <c r="K9" s="192"/>
      <c r="L9" s="192"/>
    </row>
    <row r="10" spans="1:12" ht="15.75">
      <c r="A10" s="46" t="s">
        <v>36</v>
      </c>
      <c r="B10" s="239"/>
      <c r="C10" s="239">
        <v>0</v>
      </c>
      <c r="D10" s="239"/>
      <c r="E10" s="239">
        <v>0</v>
      </c>
      <c r="F10" s="239"/>
      <c r="G10" s="240">
        <v>0</v>
      </c>
      <c r="H10" s="241">
        <v>0</v>
      </c>
      <c r="I10" s="241">
        <v>0</v>
      </c>
      <c r="K10" s="192"/>
      <c r="L10" s="192"/>
    </row>
    <row r="11" spans="1:12" ht="15.75">
      <c r="A11" s="46" t="s">
        <v>37</v>
      </c>
      <c r="B11" s="239"/>
      <c r="C11" s="239">
        <v>0</v>
      </c>
      <c r="D11" s="239"/>
      <c r="E11" s="239">
        <v>0</v>
      </c>
      <c r="F11" s="239"/>
      <c r="G11" s="240">
        <v>0</v>
      </c>
      <c r="H11" s="241">
        <v>0</v>
      </c>
      <c r="I11" s="241">
        <v>0</v>
      </c>
      <c r="K11" s="192"/>
      <c r="L11" s="192"/>
    </row>
    <row r="12" spans="1:12" ht="15.75">
      <c r="A12" s="46" t="s">
        <v>38</v>
      </c>
      <c r="B12" s="239"/>
      <c r="C12" s="239">
        <v>0</v>
      </c>
      <c r="D12" s="239"/>
      <c r="E12" s="239">
        <v>0</v>
      </c>
      <c r="F12" s="239"/>
      <c r="G12" s="240">
        <v>0</v>
      </c>
      <c r="H12" s="241">
        <v>0</v>
      </c>
      <c r="I12" s="241">
        <v>0</v>
      </c>
      <c r="J12" t="s">
        <v>260</v>
      </c>
      <c r="K12" s="193"/>
      <c r="L12" s="193"/>
    </row>
    <row r="13" spans="1:12" ht="15.75">
      <c r="A13" s="46" t="s">
        <v>40</v>
      </c>
      <c r="B13" s="239"/>
      <c r="C13" s="239">
        <v>0</v>
      </c>
      <c r="D13" s="239"/>
      <c r="E13" s="239">
        <v>0</v>
      </c>
      <c r="F13" s="239"/>
      <c r="G13" s="240">
        <v>0</v>
      </c>
      <c r="H13" s="241">
        <v>0</v>
      </c>
      <c r="I13" s="241">
        <v>0</v>
      </c>
      <c r="J13" t="s">
        <v>261</v>
      </c>
      <c r="K13" s="192"/>
      <c r="L13" s="192"/>
    </row>
    <row r="14" spans="1:12" ht="15.75">
      <c r="A14" s="46" t="s">
        <v>41</v>
      </c>
      <c r="B14" s="239">
        <v>1</v>
      </c>
      <c r="C14" s="239">
        <v>12</v>
      </c>
      <c r="D14" s="239">
        <v>1</v>
      </c>
      <c r="E14" s="239">
        <v>20</v>
      </c>
      <c r="F14" s="239">
        <v>1</v>
      </c>
      <c r="G14" s="240">
        <v>20</v>
      </c>
      <c r="H14" s="241">
        <v>3</v>
      </c>
      <c r="I14" s="241">
        <v>52</v>
      </c>
      <c r="K14" s="192"/>
      <c r="L14" s="192"/>
    </row>
    <row r="15" spans="1:9" ht="15.75">
      <c r="A15" s="46" t="s">
        <v>42</v>
      </c>
      <c r="B15" s="239">
        <v>2</v>
      </c>
      <c r="C15" s="239">
        <v>24</v>
      </c>
      <c r="D15" s="239">
        <v>1</v>
      </c>
      <c r="E15" s="239">
        <v>20</v>
      </c>
      <c r="F15" s="239">
        <v>1</v>
      </c>
      <c r="G15" s="240">
        <v>20</v>
      </c>
      <c r="H15" s="241">
        <v>4</v>
      </c>
      <c r="I15" s="241">
        <v>64</v>
      </c>
    </row>
    <row r="16" spans="1:9" ht="15.75">
      <c r="A16" s="46" t="s">
        <v>43</v>
      </c>
      <c r="B16" s="239"/>
      <c r="C16" s="239">
        <v>0</v>
      </c>
      <c r="D16" s="239"/>
      <c r="E16" s="239">
        <v>0</v>
      </c>
      <c r="F16" s="239"/>
      <c r="G16" s="240">
        <v>0</v>
      </c>
      <c r="H16" s="241">
        <v>0</v>
      </c>
      <c r="I16" s="241">
        <v>0</v>
      </c>
    </row>
    <row r="17" spans="1:9" ht="15.75">
      <c r="A17" s="46" t="s">
        <v>44</v>
      </c>
      <c r="B17" s="239">
        <v>3</v>
      </c>
      <c r="C17" s="239">
        <v>36</v>
      </c>
      <c r="D17" s="239">
        <v>1</v>
      </c>
      <c r="E17" s="239">
        <v>20</v>
      </c>
      <c r="F17" s="239">
        <v>1</v>
      </c>
      <c r="G17" s="240">
        <v>20</v>
      </c>
      <c r="H17" s="241">
        <v>5</v>
      </c>
      <c r="I17" s="241">
        <v>76</v>
      </c>
    </row>
    <row r="18" spans="1:9" ht="15.75">
      <c r="A18" s="46" t="s">
        <v>45</v>
      </c>
      <c r="B18" s="239"/>
      <c r="C18" s="239">
        <v>0</v>
      </c>
      <c r="D18" s="239"/>
      <c r="E18" s="239">
        <v>0</v>
      </c>
      <c r="F18" s="239"/>
      <c r="G18" s="240">
        <v>0</v>
      </c>
      <c r="H18" s="241">
        <v>0</v>
      </c>
      <c r="I18" s="241">
        <v>0</v>
      </c>
    </row>
    <row r="19" spans="1:9" ht="15.75">
      <c r="A19" s="46" t="s">
        <v>46</v>
      </c>
      <c r="B19" s="239">
        <v>2</v>
      </c>
      <c r="C19" s="239">
        <v>24</v>
      </c>
      <c r="D19" s="239">
        <v>3</v>
      </c>
      <c r="E19" s="239">
        <v>60</v>
      </c>
      <c r="F19" s="239">
        <v>3</v>
      </c>
      <c r="G19" s="240">
        <v>60</v>
      </c>
      <c r="H19" s="241">
        <v>8</v>
      </c>
      <c r="I19" s="241">
        <v>144</v>
      </c>
    </row>
    <row r="20" spans="1:9" ht="15.75">
      <c r="A20" s="46" t="s">
        <v>47</v>
      </c>
      <c r="B20" s="239">
        <v>2</v>
      </c>
      <c r="C20" s="239">
        <v>24</v>
      </c>
      <c r="D20" s="239">
        <v>1</v>
      </c>
      <c r="E20" s="239">
        <v>20</v>
      </c>
      <c r="F20" s="239"/>
      <c r="G20" s="240">
        <v>0</v>
      </c>
      <c r="H20" s="241">
        <v>3</v>
      </c>
      <c r="I20" s="241">
        <v>44</v>
      </c>
    </row>
    <row r="21" spans="1:9" ht="15.75">
      <c r="A21" s="46" t="s">
        <v>48</v>
      </c>
      <c r="B21" s="239">
        <v>1</v>
      </c>
      <c r="C21" s="239">
        <v>12</v>
      </c>
      <c r="D21" s="239">
        <v>1</v>
      </c>
      <c r="E21" s="239">
        <v>20</v>
      </c>
      <c r="F21" s="239"/>
      <c r="G21" s="240">
        <v>0</v>
      </c>
      <c r="H21" s="241">
        <v>2</v>
      </c>
      <c r="I21" s="241">
        <v>32</v>
      </c>
    </row>
    <row r="22" spans="1:9" ht="15.75">
      <c r="A22" s="46" t="s">
        <v>49</v>
      </c>
      <c r="B22" s="239"/>
      <c r="C22" s="239">
        <v>0</v>
      </c>
      <c r="D22" s="239"/>
      <c r="E22" s="239">
        <v>0</v>
      </c>
      <c r="F22" s="239"/>
      <c r="G22" s="240">
        <v>0</v>
      </c>
      <c r="H22" s="241">
        <v>0</v>
      </c>
      <c r="I22" s="241">
        <v>0</v>
      </c>
    </row>
    <row r="23" spans="1:9" ht="15.75">
      <c r="A23" s="46" t="s">
        <v>50</v>
      </c>
      <c r="B23" s="239">
        <v>5</v>
      </c>
      <c r="C23" s="239">
        <v>60</v>
      </c>
      <c r="D23" s="239">
        <v>4</v>
      </c>
      <c r="E23" s="239">
        <v>80</v>
      </c>
      <c r="F23" s="239">
        <v>3</v>
      </c>
      <c r="G23" s="240">
        <v>60</v>
      </c>
      <c r="H23" s="241">
        <v>12</v>
      </c>
      <c r="I23" s="241">
        <v>200</v>
      </c>
    </row>
    <row r="24" spans="1:9" ht="15.75">
      <c r="A24" s="46" t="s">
        <v>51</v>
      </c>
      <c r="B24" s="239">
        <v>1</v>
      </c>
      <c r="C24" s="239">
        <v>12</v>
      </c>
      <c r="D24" s="239"/>
      <c r="E24" s="239">
        <v>0</v>
      </c>
      <c r="F24" s="239"/>
      <c r="G24" s="240">
        <v>0</v>
      </c>
      <c r="H24" s="241">
        <v>1</v>
      </c>
      <c r="I24" s="241">
        <v>12</v>
      </c>
    </row>
    <row r="25" spans="1:9" ht="15.75">
      <c r="A25" s="46" t="s">
        <v>52</v>
      </c>
      <c r="B25" s="239"/>
      <c r="C25" s="239">
        <v>0</v>
      </c>
      <c r="D25" s="239"/>
      <c r="E25" s="239">
        <v>0</v>
      </c>
      <c r="F25" s="239"/>
      <c r="G25" s="240">
        <v>0</v>
      </c>
      <c r="H25" s="241">
        <v>0</v>
      </c>
      <c r="I25" s="241">
        <v>0</v>
      </c>
    </row>
    <row r="26" spans="1:9" ht="15.75">
      <c r="A26" s="46" t="s">
        <v>53</v>
      </c>
      <c r="B26" s="239">
        <v>1</v>
      </c>
      <c r="C26" s="239">
        <v>12</v>
      </c>
      <c r="D26" s="239">
        <v>1</v>
      </c>
      <c r="E26" s="239">
        <v>20</v>
      </c>
      <c r="F26" s="239">
        <v>1</v>
      </c>
      <c r="G26" s="240">
        <v>20</v>
      </c>
      <c r="H26" s="241">
        <v>3</v>
      </c>
      <c r="I26" s="241">
        <v>52</v>
      </c>
    </row>
    <row r="27" spans="1:9" ht="15.75">
      <c r="A27" s="46" t="s">
        <v>54</v>
      </c>
      <c r="B27" s="239">
        <v>66</v>
      </c>
      <c r="C27" s="239">
        <v>792</v>
      </c>
      <c r="D27" s="239">
        <v>49</v>
      </c>
      <c r="E27" s="239">
        <v>980</v>
      </c>
      <c r="F27" s="239">
        <v>40</v>
      </c>
      <c r="G27" s="240">
        <v>800</v>
      </c>
      <c r="H27" s="241">
        <v>155</v>
      </c>
      <c r="I27" s="241">
        <v>2572</v>
      </c>
    </row>
    <row r="28" spans="1:9" ht="15.75">
      <c r="A28" s="46" t="s">
        <v>55</v>
      </c>
      <c r="B28" s="239">
        <v>1</v>
      </c>
      <c r="C28" s="239">
        <v>12</v>
      </c>
      <c r="D28" s="239">
        <v>1</v>
      </c>
      <c r="E28" s="239">
        <v>20</v>
      </c>
      <c r="F28" s="239">
        <v>1</v>
      </c>
      <c r="G28" s="240">
        <v>20</v>
      </c>
      <c r="H28" s="241">
        <v>3</v>
      </c>
      <c r="I28" s="241">
        <v>52</v>
      </c>
    </row>
    <row r="29" spans="1:9" ht="15.75">
      <c r="A29" s="46" t="s">
        <v>56</v>
      </c>
      <c r="B29" s="239">
        <v>2</v>
      </c>
      <c r="C29" s="239">
        <v>24</v>
      </c>
      <c r="D29" s="239">
        <v>1</v>
      </c>
      <c r="E29" s="239">
        <v>20</v>
      </c>
      <c r="F29" s="239">
        <v>1</v>
      </c>
      <c r="G29" s="240">
        <v>20</v>
      </c>
      <c r="H29" s="241">
        <v>4</v>
      </c>
      <c r="I29" s="241">
        <v>64</v>
      </c>
    </row>
    <row r="30" spans="1:9" ht="15.75">
      <c r="A30" s="46" t="s">
        <v>57</v>
      </c>
      <c r="B30" s="239"/>
      <c r="C30" s="239">
        <v>0</v>
      </c>
      <c r="D30" s="239"/>
      <c r="E30" s="239">
        <v>0</v>
      </c>
      <c r="F30" s="239"/>
      <c r="G30" s="240">
        <v>0</v>
      </c>
      <c r="H30" s="241">
        <v>0</v>
      </c>
      <c r="I30" s="241">
        <v>0</v>
      </c>
    </row>
    <row r="31" spans="1:9" ht="15.75">
      <c r="A31" s="46" t="s">
        <v>58</v>
      </c>
      <c r="B31" s="239"/>
      <c r="C31" s="239">
        <v>0</v>
      </c>
      <c r="D31" s="239"/>
      <c r="E31" s="239">
        <v>0</v>
      </c>
      <c r="F31" s="239"/>
      <c r="G31" s="240">
        <v>0</v>
      </c>
      <c r="H31" s="241">
        <v>0</v>
      </c>
      <c r="I31" s="241">
        <v>0</v>
      </c>
    </row>
    <row r="32" spans="1:9" ht="15.75">
      <c r="A32" s="46" t="s">
        <v>59</v>
      </c>
      <c r="B32" s="239"/>
      <c r="C32" s="239">
        <v>0</v>
      </c>
      <c r="D32" s="239"/>
      <c r="E32" s="239">
        <v>0</v>
      </c>
      <c r="F32" s="239"/>
      <c r="G32" s="240">
        <v>0</v>
      </c>
      <c r="H32" s="241">
        <v>0</v>
      </c>
      <c r="I32" s="241">
        <v>0</v>
      </c>
    </row>
    <row r="33" spans="1:9" ht="15.75">
      <c r="A33" s="46" t="s">
        <v>60</v>
      </c>
      <c r="B33" s="239"/>
      <c r="C33" s="239">
        <v>0</v>
      </c>
      <c r="D33" s="239"/>
      <c r="E33" s="239">
        <v>0</v>
      </c>
      <c r="F33" s="239"/>
      <c r="G33" s="240">
        <v>0</v>
      </c>
      <c r="H33" s="241">
        <v>0</v>
      </c>
      <c r="I33" s="241">
        <v>0</v>
      </c>
    </row>
    <row r="34" spans="1:9" ht="15.75">
      <c r="A34" s="46" t="s">
        <v>61</v>
      </c>
      <c r="B34" s="239">
        <v>11</v>
      </c>
      <c r="C34" s="239">
        <v>132</v>
      </c>
      <c r="D34" s="239">
        <v>8</v>
      </c>
      <c r="E34" s="239">
        <v>160</v>
      </c>
      <c r="F34" s="239">
        <v>7</v>
      </c>
      <c r="G34" s="240">
        <v>140</v>
      </c>
      <c r="H34" s="241">
        <v>26</v>
      </c>
      <c r="I34" s="241">
        <v>432</v>
      </c>
    </row>
    <row r="35" spans="1:9" ht="15.75">
      <c r="A35" s="46" t="s">
        <v>62</v>
      </c>
      <c r="B35" s="239"/>
      <c r="C35" s="239">
        <v>0</v>
      </c>
      <c r="D35" s="239"/>
      <c r="E35" s="239">
        <v>0</v>
      </c>
      <c r="F35" s="239"/>
      <c r="G35" s="240">
        <v>0</v>
      </c>
      <c r="H35" s="241">
        <v>0</v>
      </c>
      <c r="I35" s="241">
        <v>0</v>
      </c>
    </row>
    <row r="36" spans="1:9" ht="15.75">
      <c r="A36" s="46" t="s">
        <v>63</v>
      </c>
      <c r="B36" s="239">
        <v>4</v>
      </c>
      <c r="C36" s="239">
        <v>48</v>
      </c>
      <c r="D36" s="239">
        <v>2</v>
      </c>
      <c r="E36" s="239">
        <v>40</v>
      </c>
      <c r="F36" s="239">
        <v>2</v>
      </c>
      <c r="G36" s="240">
        <v>40</v>
      </c>
      <c r="H36" s="241">
        <v>8</v>
      </c>
      <c r="I36" s="241">
        <v>128</v>
      </c>
    </row>
    <row r="37" spans="1:9" ht="15.75">
      <c r="A37" s="46" t="s">
        <v>64</v>
      </c>
      <c r="B37" s="239">
        <v>1</v>
      </c>
      <c r="C37" s="239">
        <v>12</v>
      </c>
      <c r="D37" s="239">
        <v>2</v>
      </c>
      <c r="E37" s="239">
        <v>40</v>
      </c>
      <c r="F37" s="239">
        <v>2</v>
      </c>
      <c r="G37" s="240">
        <v>40</v>
      </c>
      <c r="H37" s="241">
        <v>5</v>
      </c>
      <c r="I37" s="241">
        <v>92</v>
      </c>
    </row>
    <row r="38" spans="1:9" ht="15.75">
      <c r="A38" s="46" t="s">
        <v>65</v>
      </c>
      <c r="B38" s="239">
        <v>4</v>
      </c>
      <c r="C38" s="239">
        <v>48</v>
      </c>
      <c r="D38" s="239">
        <v>3</v>
      </c>
      <c r="E38" s="239">
        <v>60</v>
      </c>
      <c r="F38" s="239">
        <v>3</v>
      </c>
      <c r="G38" s="240">
        <v>60</v>
      </c>
      <c r="H38" s="241">
        <v>10</v>
      </c>
      <c r="I38" s="241">
        <v>168</v>
      </c>
    </row>
    <row r="39" spans="1:9" ht="15.75">
      <c r="A39" s="46" t="s">
        <v>66</v>
      </c>
      <c r="B39" s="239">
        <v>6</v>
      </c>
      <c r="C39" s="239">
        <v>72</v>
      </c>
      <c r="D39" s="239">
        <v>4</v>
      </c>
      <c r="E39" s="239">
        <v>80</v>
      </c>
      <c r="F39" s="239">
        <v>3</v>
      </c>
      <c r="G39" s="240">
        <v>60</v>
      </c>
      <c r="H39" s="241">
        <v>13</v>
      </c>
      <c r="I39" s="241">
        <v>212</v>
      </c>
    </row>
    <row r="40" spans="1:9" ht="15.75">
      <c r="A40" s="46" t="s">
        <v>67</v>
      </c>
      <c r="B40" s="239">
        <v>7</v>
      </c>
      <c r="C40" s="239">
        <v>84</v>
      </c>
      <c r="D40" s="239">
        <v>4</v>
      </c>
      <c r="E40" s="239">
        <v>80</v>
      </c>
      <c r="F40" s="239">
        <v>5</v>
      </c>
      <c r="G40" s="240">
        <v>100</v>
      </c>
      <c r="H40" s="241">
        <v>16</v>
      </c>
      <c r="I40" s="241">
        <v>264</v>
      </c>
    </row>
    <row r="41" spans="1:9" ht="15.75">
      <c r="A41" s="46" t="s">
        <v>68</v>
      </c>
      <c r="B41" s="239">
        <v>1</v>
      </c>
      <c r="C41" s="239">
        <v>12</v>
      </c>
      <c r="D41" s="239">
        <v>1</v>
      </c>
      <c r="E41" s="239">
        <v>20</v>
      </c>
      <c r="F41" s="239"/>
      <c r="G41" s="240">
        <v>0</v>
      </c>
      <c r="H41" s="241">
        <v>2</v>
      </c>
      <c r="I41" s="241">
        <v>32</v>
      </c>
    </row>
    <row r="42" spans="1:9" ht="15.75">
      <c r="A42" s="46" t="s">
        <v>69</v>
      </c>
      <c r="B42" s="239"/>
      <c r="C42" s="239">
        <v>0</v>
      </c>
      <c r="D42" s="239"/>
      <c r="E42" s="239">
        <v>0</v>
      </c>
      <c r="F42" s="239"/>
      <c r="G42" s="240">
        <v>0</v>
      </c>
      <c r="H42" s="241">
        <v>0</v>
      </c>
      <c r="I42" s="241">
        <v>0</v>
      </c>
    </row>
    <row r="43" spans="1:9" ht="15.75">
      <c r="A43" s="46" t="s">
        <v>70</v>
      </c>
      <c r="B43" s="239">
        <v>2</v>
      </c>
      <c r="C43" s="239">
        <v>24</v>
      </c>
      <c r="D43" s="239">
        <v>1</v>
      </c>
      <c r="E43" s="239">
        <v>20</v>
      </c>
      <c r="F43" s="239">
        <v>1</v>
      </c>
      <c r="G43" s="240">
        <v>20</v>
      </c>
      <c r="H43" s="241">
        <v>4</v>
      </c>
      <c r="I43" s="241">
        <v>64</v>
      </c>
    </row>
    <row r="44" spans="1:9" ht="15.75">
      <c r="A44" s="46" t="s">
        <v>71</v>
      </c>
      <c r="B44" s="239">
        <v>3</v>
      </c>
      <c r="C44" s="239">
        <v>36</v>
      </c>
      <c r="D44" s="239">
        <v>3</v>
      </c>
      <c r="E44" s="239">
        <v>60</v>
      </c>
      <c r="F44" s="239">
        <v>2</v>
      </c>
      <c r="G44" s="240">
        <v>40</v>
      </c>
      <c r="H44" s="241">
        <v>8</v>
      </c>
      <c r="I44" s="241">
        <v>136</v>
      </c>
    </row>
    <row r="45" spans="1:9" ht="15.75">
      <c r="A45" s="46" t="s">
        <v>72</v>
      </c>
      <c r="B45" s="239">
        <v>2</v>
      </c>
      <c r="C45" s="239">
        <v>24</v>
      </c>
      <c r="D45" s="239">
        <v>2</v>
      </c>
      <c r="E45" s="239">
        <v>40</v>
      </c>
      <c r="F45" s="239">
        <v>2</v>
      </c>
      <c r="G45" s="240">
        <v>40</v>
      </c>
      <c r="H45" s="241">
        <v>6</v>
      </c>
      <c r="I45" s="241">
        <v>104</v>
      </c>
    </row>
    <row r="46" spans="1:9" ht="15.75">
      <c r="A46" s="46" t="s">
        <v>73</v>
      </c>
      <c r="B46" s="239"/>
      <c r="C46" s="239">
        <v>0</v>
      </c>
      <c r="D46" s="239"/>
      <c r="E46" s="239">
        <v>0</v>
      </c>
      <c r="F46" s="239"/>
      <c r="G46" s="240">
        <v>0</v>
      </c>
      <c r="H46" s="241">
        <v>0</v>
      </c>
      <c r="I46" s="241">
        <v>0</v>
      </c>
    </row>
    <row r="47" spans="1:9" ht="15.75">
      <c r="A47" s="46" t="s">
        <v>74</v>
      </c>
      <c r="B47" s="239">
        <v>63</v>
      </c>
      <c r="C47" s="239">
        <v>756</v>
      </c>
      <c r="D47" s="239">
        <v>45</v>
      </c>
      <c r="E47" s="239">
        <v>900</v>
      </c>
      <c r="F47" s="239">
        <v>38</v>
      </c>
      <c r="G47" s="240">
        <v>760</v>
      </c>
      <c r="H47" s="241">
        <v>146</v>
      </c>
      <c r="I47" s="241">
        <v>2416</v>
      </c>
    </row>
    <row r="48" spans="1:9" ht="15.75">
      <c r="A48" s="46" t="s">
        <v>75</v>
      </c>
      <c r="B48" s="239">
        <v>2</v>
      </c>
      <c r="C48" s="239">
        <v>24</v>
      </c>
      <c r="D48" s="239">
        <v>1</v>
      </c>
      <c r="E48" s="239">
        <v>20</v>
      </c>
      <c r="F48" s="239">
        <v>1</v>
      </c>
      <c r="G48" s="240">
        <v>20</v>
      </c>
      <c r="H48" s="241">
        <v>4</v>
      </c>
      <c r="I48" s="241">
        <v>64</v>
      </c>
    </row>
    <row r="49" spans="1:9" ht="15.75">
      <c r="A49" s="46" t="s">
        <v>76</v>
      </c>
      <c r="B49" s="239"/>
      <c r="C49" s="239">
        <v>0</v>
      </c>
      <c r="D49" s="239"/>
      <c r="E49" s="239">
        <v>0</v>
      </c>
      <c r="F49" s="239"/>
      <c r="G49" s="240">
        <v>0</v>
      </c>
      <c r="H49" s="241">
        <v>0</v>
      </c>
      <c r="I49" s="241">
        <v>0</v>
      </c>
    </row>
    <row r="50" spans="1:9" ht="15.75">
      <c r="A50" s="46" t="s">
        <v>77</v>
      </c>
      <c r="B50" s="239"/>
      <c r="C50" s="239">
        <v>0</v>
      </c>
      <c r="D50" s="239"/>
      <c r="E50" s="239">
        <v>0</v>
      </c>
      <c r="F50" s="239"/>
      <c r="G50" s="240">
        <v>0</v>
      </c>
      <c r="H50" s="241">
        <v>0</v>
      </c>
      <c r="I50" s="241">
        <v>0</v>
      </c>
    </row>
    <row r="51" spans="1:9" ht="15.75">
      <c r="A51" s="46" t="s">
        <v>78</v>
      </c>
      <c r="B51" s="239"/>
      <c r="C51" s="239">
        <v>0</v>
      </c>
      <c r="D51" s="239"/>
      <c r="E51" s="239">
        <v>0</v>
      </c>
      <c r="F51" s="239"/>
      <c r="G51" s="240">
        <v>0</v>
      </c>
      <c r="H51" s="241">
        <v>0</v>
      </c>
      <c r="I51" s="241">
        <v>0</v>
      </c>
    </row>
    <row r="52" spans="1:9" ht="15.75">
      <c r="A52" s="46" t="s">
        <v>79</v>
      </c>
      <c r="B52" s="239">
        <v>2</v>
      </c>
      <c r="C52" s="239">
        <v>24</v>
      </c>
      <c r="D52" s="239">
        <v>1</v>
      </c>
      <c r="E52" s="239">
        <v>20</v>
      </c>
      <c r="F52" s="239">
        <v>1</v>
      </c>
      <c r="G52" s="240">
        <v>20</v>
      </c>
      <c r="H52" s="241">
        <v>4</v>
      </c>
      <c r="I52" s="241">
        <v>64</v>
      </c>
    </row>
    <row r="53" spans="1:9" ht="15.75">
      <c r="A53" s="46" t="s">
        <v>80</v>
      </c>
      <c r="B53" s="239"/>
      <c r="C53" s="239">
        <v>0</v>
      </c>
      <c r="D53" s="239"/>
      <c r="E53" s="239">
        <v>0</v>
      </c>
      <c r="F53" s="239"/>
      <c r="G53" s="240">
        <v>0</v>
      </c>
      <c r="H53" s="241">
        <v>0</v>
      </c>
      <c r="I53" s="241">
        <v>0</v>
      </c>
    </row>
    <row r="54" spans="1:9" ht="15.75">
      <c r="A54" s="46" t="s">
        <v>81</v>
      </c>
      <c r="B54" s="239">
        <v>2</v>
      </c>
      <c r="C54" s="239">
        <v>24</v>
      </c>
      <c r="D54" s="239">
        <v>2</v>
      </c>
      <c r="E54" s="239">
        <v>40</v>
      </c>
      <c r="F54" s="239">
        <v>2</v>
      </c>
      <c r="G54" s="240">
        <v>40</v>
      </c>
      <c r="H54" s="241">
        <v>6</v>
      </c>
      <c r="I54" s="241">
        <v>104</v>
      </c>
    </row>
    <row r="55" spans="1:9" ht="15.75">
      <c r="A55" s="46" t="s">
        <v>82</v>
      </c>
      <c r="B55" s="239"/>
      <c r="C55" s="239">
        <v>0</v>
      </c>
      <c r="D55" s="239"/>
      <c r="E55" s="239">
        <v>0</v>
      </c>
      <c r="F55" s="239"/>
      <c r="G55" s="240">
        <v>0</v>
      </c>
      <c r="H55" s="241">
        <v>0</v>
      </c>
      <c r="I55" s="241">
        <v>0</v>
      </c>
    </row>
    <row r="56" spans="1:9" ht="15.75">
      <c r="A56" s="46" t="s">
        <v>83</v>
      </c>
      <c r="B56" s="239"/>
      <c r="C56" s="239">
        <v>0</v>
      </c>
      <c r="D56" s="239"/>
      <c r="E56" s="239">
        <v>0</v>
      </c>
      <c r="F56" s="239"/>
      <c r="G56" s="240">
        <v>0</v>
      </c>
      <c r="H56" s="241">
        <v>0</v>
      </c>
      <c r="I56" s="241">
        <v>0</v>
      </c>
    </row>
    <row r="57" spans="1:9" ht="15.75">
      <c r="A57" s="46" t="s">
        <v>84</v>
      </c>
      <c r="B57" s="239"/>
      <c r="C57" s="239">
        <v>0</v>
      </c>
      <c r="D57" s="239"/>
      <c r="E57" s="239">
        <v>0</v>
      </c>
      <c r="F57" s="239"/>
      <c r="G57" s="240">
        <v>0</v>
      </c>
      <c r="H57" s="241">
        <v>0</v>
      </c>
      <c r="I57" s="241">
        <v>0</v>
      </c>
    </row>
    <row r="58" spans="1:9" ht="15.75">
      <c r="A58" s="46" t="s">
        <v>85</v>
      </c>
      <c r="B58" s="239">
        <v>2</v>
      </c>
      <c r="C58" s="239">
        <v>24</v>
      </c>
      <c r="D58" s="239">
        <v>1</v>
      </c>
      <c r="E58" s="239">
        <v>20</v>
      </c>
      <c r="F58" s="239">
        <v>1</v>
      </c>
      <c r="G58" s="240">
        <v>20</v>
      </c>
      <c r="H58" s="241">
        <v>4</v>
      </c>
      <c r="I58" s="241">
        <v>64</v>
      </c>
    </row>
    <row r="59" spans="1:9" ht="15.75">
      <c r="A59" s="46" t="s">
        <v>86</v>
      </c>
      <c r="B59" s="239"/>
      <c r="C59" s="239">
        <v>0</v>
      </c>
      <c r="D59" s="239"/>
      <c r="E59" s="239">
        <v>0</v>
      </c>
      <c r="F59" s="239"/>
      <c r="G59" s="240">
        <v>0</v>
      </c>
      <c r="H59" s="241">
        <v>0</v>
      </c>
      <c r="I59" s="241">
        <v>0</v>
      </c>
    </row>
    <row r="60" spans="1:9" ht="15.75">
      <c r="A60" s="46" t="s">
        <v>87</v>
      </c>
      <c r="B60" s="239"/>
      <c r="C60" s="239">
        <v>0</v>
      </c>
      <c r="D60" s="239"/>
      <c r="E60" s="239">
        <v>0</v>
      </c>
      <c r="F60" s="239"/>
      <c r="G60" s="240">
        <v>0</v>
      </c>
      <c r="H60" s="241">
        <v>0</v>
      </c>
      <c r="I60" s="241">
        <v>0</v>
      </c>
    </row>
    <row r="61" spans="1:9" ht="15.75">
      <c r="A61" s="46" t="s">
        <v>88</v>
      </c>
      <c r="B61" s="239">
        <v>1</v>
      </c>
      <c r="C61" s="239">
        <v>12</v>
      </c>
      <c r="D61" s="239">
        <v>1</v>
      </c>
      <c r="E61" s="239">
        <v>20</v>
      </c>
      <c r="F61" s="239">
        <v>1</v>
      </c>
      <c r="G61" s="240">
        <v>20</v>
      </c>
      <c r="H61" s="241">
        <v>3</v>
      </c>
      <c r="I61" s="241">
        <v>52</v>
      </c>
    </row>
    <row r="62" spans="1:9" ht="15.75">
      <c r="A62" s="46" t="s">
        <v>89</v>
      </c>
      <c r="B62" s="239"/>
      <c r="C62" s="239">
        <v>0</v>
      </c>
      <c r="D62" s="239"/>
      <c r="E62" s="239">
        <v>0</v>
      </c>
      <c r="F62" s="239"/>
      <c r="G62" s="240">
        <v>0</v>
      </c>
      <c r="H62" s="241">
        <v>0</v>
      </c>
      <c r="I62" s="241">
        <v>0</v>
      </c>
    </row>
    <row r="63" spans="1:9" ht="15.75">
      <c r="A63" s="46" t="s">
        <v>90</v>
      </c>
      <c r="B63" s="239">
        <v>2</v>
      </c>
      <c r="C63" s="239">
        <v>24</v>
      </c>
      <c r="D63" s="239">
        <v>2</v>
      </c>
      <c r="E63" s="239">
        <v>40</v>
      </c>
      <c r="F63" s="239">
        <v>1</v>
      </c>
      <c r="G63" s="240">
        <v>20</v>
      </c>
      <c r="H63" s="241">
        <v>5</v>
      </c>
      <c r="I63" s="241">
        <v>84</v>
      </c>
    </row>
    <row r="64" spans="1:9" ht="15.75">
      <c r="A64" s="46" t="s">
        <v>91</v>
      </c>
      <c r="B64" s="239"/>
      <c r="C64" s="239">
        <v>0</v>
      </c>
      <c r="D64" s="239"/>
      <c r="E64" s="239">
        <v>0</v>
      </c>
      <c r="F64" s="239"/>
      <c r="G64" s="240">
        <v>0</v>
      </c>
      <c r="H64" s="241">
        <v>0</v>
      </c>
      <c r="I64" s="241">
        <v>0</v>
      </c>
    </row>
    <row r="65" spans="1:9" ht="15.75">
      <c r="A65" s="46" t="s">
        <v>92</v>
      </c>
      <c r="B65" s="239"/>
      <c r="C65" s="239">
        <v>0</v>
      </c>
      <c r="D65" s="239"/>
      <c r="E65" s="239">
        <v>0</v>
      </c>
      <c r="F65" s="239"/>
      <c r="G65" s="240">
        <v>0</v>
      </c>
      <c r="H65" s="241">
        <v>0</v>
      </c>
      <c r="I65" s="241">
        <v>0</v>
      </c>
    </row>
    <row r="66" spans="1:9" ht="15.75">
      <c r="A66" s="46" t="s">
        <v>93</v>
      </c>
      <c r="B66" s="239"/>
      <c r="C66" s="239">
        <v>0</v>
      </c>
      <c r="D66" s="239"/>
      <c r="E66" s="239">
        <v>0</v>
      </c>
      <c r="F66" s="239"/>
      <c r="G66" s="240">
        <v>0</v>
      </c>
      <c r="H66" s="241">
        <v>0</v>
      </c>
      <c r="I66" s="241">
        <v>0</v>
      </c>
    </row>
    <row r="67" spans="1:9" ht="15.75">
      <c r="A67" s="46" t="s">
        <v>94</v>
      </c>
      <c r="B67" s="239"/>
      <c r="C67" s="239">
        <v>0</v>
      </c>
      <c r="D67" s="239"/>
      <c r="E67" s="239">
        <v>0</v>
      </c>
      <c r="F67" s="239"/>
      <c r="G67" s="240">
        <v>0</v>
      </c>
      <c r="H67" s="241">
        <v>0</v>
      </c>
      <c r="I67" s="241">
        <v>0</v>
      </c>
    </row>
    <row r="68" spans="1:9" ht="15.75">
      <c r="A68" s="46" t="s">
        <v>95</v>
      </c>
      <c r="B68" s="239">
        <v>15</v>
      </c>
      <c r="C68" s="239">
        <v>180</v>
      </c>
      <c r="D68" s="239">
        <v>6</v>
      </c>
      <c r="E68" s="239">
        <v>120</v>
      </c>
      <c r="F68" s="239">
        <v>8</v>
      </c>
      <c r="G68" s="240">
        <v>160</v>
      </c>
      <c r="H68" s="241">
        <v>29</v>
      </c>
      <c r="I68" s="241">
        <v>460</v>
      </c>
    </row>
    <row r="69" spans="1:9" ht="15.75">
      <c r="A69" s="46" t="s">
        <v>96</v>
      </c>
      <c r="B69" s="239"/>
      <c r="C69" s="239">
        <v>0</v>
      </c>
      <c r="D69" s="239"/>
      <c r="E69" s="239">
        <v>0</v>
      </c>
      <c r="F69" s="239"/>
      <c r="G69" s="240">
        <v>0</v>
      </c>
      <c r="H69" s="241">
        <v>0</v>
      </c>
      <c r="I69" s="241">
        <v>0</v>
      </c>
    </row>
    <row r="70" spans="1:9" ht="15.75">
      <c r="A70" s="46" t="s">
        <v>97</v>
      </c>
      <c r="B70" s="239"/>
      <c r="C70" s="239">
        <v>0</v>
      </c>
      <c r="D70" s="239"/>
      <c r="E70" s="239">
        <v>0</v>
      </c>
      <c r="F70" s="239"/>
      <c r="G70" s="240">
        <v>0</v>
      </c>
      <c r="H70" s="241">
        <v>0</v>
      </c>
      <c r="I70" s="241">
        <v>0</v>
      </c>
    </row>
    <row r="71" spans="1:9" ht="15.75">
      <c r="A71" s="46" t="s">
        <v>98</v>
      </c>
      <c r="B71" s="239"/>
      <c r="C71" s="239">
        <v>0</v>
      </c>
      <c r="D71" s="239"/>
      <c r="E71" s="239">
        <v>0</v>
      </c>
      <c r="F71" s="239"/>
      <c r="G71" s="240">
        <v>0</v>
      </c>
      <c r="H71" s="241">
        <v>0</v>
      </c>
      <c r="I71" s="241">
        <v>0</v>
      </c>
    </row>
    <row r="72" spans="1:9" ht="15.75">
      <c r="A72" s="46" t="s">
        <v>99</v>
      </c>
      <c r="B72" s="239">
        <v>1</v>
      </c>
      <c r="C72" s="239">
        <v>12</v>
      </c>
      <c r="D72" s="239">
        <v>1</v>
      </c>
      <c r="E72" s="239">
        <v>20</v>
      </c>
      <c r="F72" s="239">
        <v>1</v>
      </c>
      <c r="G72" s="240">
        <v>20</v>
      </c>
      <c r="H72" s="241">
        <v>3</v>
      </c>
      <c r="I72" s="241">
        <v>52</v>
      </c>
    </row>
    <row r="73" spans="1:9" ht="15.75">
      <c r="A73" s="46" t="s">
        <v>100</v>
      </c>
      <c r="B73" s="239"/>
      <c r="C73" s="239">
        <v>0</v>
      </c>
      <c r="D73" s="239"/>
      <c r="E73" s="239">
        <v>0</v>
      </c>
      <c r="F73" s="239"/>
      <c r="G73" s="240">
        <v>0</v>
      </c>
      <c r="H73" s="241">
        <v>0</v>
      </c>
      <c r="I73" s="241">
        <v>0</v>
      </c>
    </row>
    <row r="74" spans="1:9" ht="15.75">
      <c r="A74" s="46" t="s">
        <v>101</v>
      </c>
      <c r="B74" s="239"/>
      <c r="C74" s="239">
        <v>0</v>
      </c>
      <c r="D74" s="239"/>
      <c r="E74" s="239">
        <v>0</v>
      </c>
      <c r="F74" s="239"/>
      <c r="G74" s="240">
        <v>0</v>
      </c>
      <c r="H74" s="241">
        <v>0</v>
      </c>
      <c r="I74" s="241">
        <v>0</v>
      </c>
    </row>
    <row r="75" spans="1:9" ht="15.75">
      <c r="A75" s="46" t="s">
        <v>102</v>
      </c>
      <c r="B75" s="239">
        <v>1</v>
      </c>
      <c r="C75" s="239">
        <v>12</v>
      </c>
      <c r="D75" s="239">
        <v>1</v>
      </c>
      <c r="E75" s="239">
        <v>20</v>
      </c>
      <c r="F75" s="239"/>
      <c r="G75" s="240">
        <v>0</v>
      </c>
      <c r="H75" s="241">
        <v>2</v>
      </c>
      <c r="I75" s="241">
        <v>32</v>
      </c>
    </row>
    <row r="76" spans="1:9" ht="15.75">
      <c r="A76" s="46" t="s">
        <v>103</v>
      </c>
      <c r="B76" s="239">
        <v>2</v>
      </c>
      <c r="C76" s="239">
        <v>24</v>
      </c>
      <c r="D76" s="239">
        <v>2</v>
      </c>
      <c r="E76" s="239">
        <v>40</v>
      </c>
      <c r="F76" s="239">
        <v>1</v>
      </c>
      <c r="G76" s="240">
        <v>20</v>
      </c>
      <c r="H76" s="241">
        <v>5</v>
      </c>
      <c r="I76" s="241">
        <v>84</v>
      </c>
    </row>
    <row r="77" spans="1:9" ht="15.75">
      <c r="A77" s="46" t="s">
        <v>104</v>
      </c>
      <c r="B77" s="239">
        <v>1</v>
      </c>
      <c r="C77" s="239">
        <v>12</v>
      </c>
      <c r="D77" s="239"/>
      <c r="E77" s="239">
        <v>0</v>
      </c>
      <c r="F77" s="239"/>
      <c r="G77" s="240">
        <v>0</v>
      </c>
      <c r="H77" s="241">
        <v>1</v>
      </c>
      <c r="I77" s="241">
        <v>12</v>
      </c>
    </row>
    <row r="78" spans="1:9" ht="15.75">
      <c r="A78" s="46" t="s">
        <v>105</v>
      </c>
      <c r="B78" s="239"/>
      <c r="C78" s="239">
        <v>0</v>
      </c>
      <c r="D78" s="239"/>
      <c r="E78" s="239">
        <v>0</v>
      </c>
      <c r="F78" s="239"/>
      <c r="G78" s="240">
        <v>0</v>
      </c>
      <c r="H78" s="241">
        <v>0</v>
      </c>
      <c r="I78" s="241">
        <v>0</v>
      </c>
    </row>
    <row r="79" spans="1:9" ht="15.75">
      <c r="A79" s="46" t="s">
        <v>106</v>
      </c>
      <c r="B79" s="239">
        <v>3</v>
      </c>
      <c r="C79" s="239">
        <v>36</v>
      </c>
      <c r="D79" s="239">
        <v>2</v>
      </c>
      <c r="E79" s="239">
        <v>40</v>
      </c>
      <c r="F79" s="239">
        <v>2</v>
      </c>
      <c r="G79" s="240">
        <v>40</v>
      </c>
      <c r="H79" s="241">
        <v>7</v>
      </c>
      <c r="I79" s="241">
        <v>116</v>
      </c>
    </row>
    <row r="80" spans="1:9" ht="15.75">
      <c r="A80" s="46" t="s">
        <v>107</v>
      </c>
      <c r="B80" s="239"/>
      <c r="C80" s="239">
        <v>0</v>
      </c>
      <c r="D80" s="239"/>
      <c r="E80" s="239">
        <v>0</v>
      </c>
      <c r="F80" s="239"/>
      <c r="G80" s="240">
        <v>0</v>
      </c>
      <c r="H80" s="241">
        <v>0</v>
      </c>
      <c r="I80" s="241">
        <v>0</v>
      </c>
    </row>
    <row r="81" spans="1:9" ht="16.5" thickBot="1">
      <c r="A81" s="47" t="s">
        <v>108</v>
      </c>
      <c r="B81" s="242"/>
      <c r="C81" s="242">
        <v>0</v>
      </c>
      <c r="D81" s="242"/>
      <c r="E81" s="242">
        <v>0</v>
      </c>
      <c r="F81" s="242"/>
      <c r="G81" s="243">
        <v>0</v>
      </c>
      <c r="H81" s="244">
        <v>0</v>
      </c>
      <c r="I81" s="244">
        <v>0</v>
      </c>
    </row>
    <row r="82" spans="1:9" ht="19.5" thickBot="1">
      <c r="A82" s="50" t="s">
        <v>121</v>
      </c>
      <c r="B82" s="196">
        <v>247</v>
      </c>
      <c r="C82" s="197">
        <v>2964</v>
      </c>
      <c r="D82" s="196">
        <v>173</v>
      </c>
      <c r="E82" s="197">
        <v>3460</v>
      </c>
      <c r="F82" s="196">
        <v>149</v>
      </c>
      <c r="G82" s="199">
        <v>2980</v>
      </c>
      <c r="H82" s="200">
        <v>569</v>
      </c>
      <c r="I82" s="201">
        <v>9404</v>
      </c>
    </row>
    <row r="83" spans="1:9" ht="18.75">
      <c r="A83" s="52"/>
      <c r="B83" s="202"/>
      <c r="C83" s="202"/>
      <c r="D83" s="202"/>
      <c r="E83" s="202"/>
      <c r="F83" s="202"/>
      <c r="G83" s="203"/>
      <c r="H83" s="52"/>
      <c r="I83" s="52"/>
    </row>
    <row r="84" spans="1:9" ht="16.5" thickBot="1">
      <c r="A84" s="53"/>
      <c r="B84" s="204"/>
      <c r="C84" s="204"/>
      <c r="D84" s="204"/>
      <c r="E84" s="204"/>
      <c r="F84" s="204"/>
      <c r="G84" s="205"/>
      <c r="H84" s="53"/>
      <c r="I84" s="53"/>
    </row>
    <row r="85" spans="1:9" ht="19.5" thickBot="1">
      <c r="A85" s="245" t="s">
        <v>252</v>
      </c>
      <c r="B85" s="246"/>
      <c r="C85" s="246"/>
      <c r="D85" s="246"/>
      <c r="E85" s="246"/>
      <c r="F85" s="246"/>
      <c r="G85" s="246"/>
      <c r="H85" s="246"/>
      <c r="I85" s="247"/>
    </row>
    <row r="86" spans="1:9" ht="16.5">
      <c r="A86" s="54" t="s">
        <v>262</v>
      </c>
      <c r="B86" s="248" t="s">
        <v>263</v>
      </c>
      <c r="C86" s="248"/>
      <c r="D86" s="248" t="s">
        <v>264</v>
      </c>
      <c r="E86" s="248"/>
      <c r="F86" s="249" t="s">
        <v>265</v>
      </c>
      <c r="G86" s="249"/>
      <c r="H86" s="54" t="s">
        <v>257</v>
      </c>
      <c r="I86" s="54" t="s">
        <v>258</v>
      </c>
    </row>
    <row r="87" spans="1:9" ht="15.75">
      <c r="A87" s="46" t="s">
        <v>266</v>
      </c>
      <c r="B87" s="190">
        <v>32</v>
      </c>
      <c r="C87" s="190">
        <v>384</v>
      </c>
      <c r="D87" s="190">
        <v>24</v>
      </c>
      <c r="E87" s="190">
        <v>480</v>
      </c>
      <c r="F87" s="190">
        <v>22</v>
      </c>
      <c r="G87" s="191">
        <v>440</v>
      </c>
      <c r="H87" s="29">
        <v>78</v>
      </c>
      <c r="I87" s="29">
        <v>1304</v>
      </c>
    </row>
    <row r="88" spans="1:9" ht="15.75">
      <c r="A88" s="46" t="s">
        <v>117</v>
      </c>
      <c r="B88" s="190">
        <v>9</v>
      </c>
      <c r="C88" s="190">
        <v>108</v>
      </c>
      <c r="D88" s="190">
        <v>6</v>
      </c>
      <c r="E88" s="190">
        <v>120</v>
      </c>
      <c r="F88" s="190">
        <v>7</v>
      </c>
      <c r="G88" s="191">
        <v>140</v>
      </c>
      <c r="H88" s="29">
        <v>22</v>
      </c>
      <c r="I88" s="29">
        <v>368</v>
      </c>
    </row>
    <row r="89" spans="1:9" ht="15.75">
      <c r="A89" s="46" t="s">
        <v>267</v>
      </c>
      <c r="B89" s="190">
        <v>72</v>
      </c>
      <c r="C89" s="190">
        <v>864</v>
      </c>
      <c r="D89" s="190">
        <v>52</v>
      </c>
      <c r="E89" s="190">
        <v>1040</v>
      </c>
      <c r="F89" s="190">
        <v>43</v>
      </c>
      <c r="G89" s="191">
        <v>860</v>
      </c>
      <c r="H89" s="29">
        <v>167</v>
      </c>
      <c r="I89" s="29">
        <v>2764</v>
      </c>
    </row>
    <row r="90" spans="1:9" ht="15.75">
      <c r="A90" s="46" t="s">
        <v>56</v>
      </c>
      <c r="B90" s="190">
        <v>3</v>
      </c>
      <c r="C90" s="190">
        <v>36</v>
      </c>
      <c r="D90" s="190">
        <v>2</v>
      </c>
      <c r="E90" s="190">
        <v>40</v>
      </c>
      <c r="F90" s="190">
        <v>2</v>
      </c>
      <c r="G90" s="191">
        <v>40</v>
      </c>
      <c r="H90" s="29">
        <v>7</v>
      </c>
      <c r="I90" s="29">
        <v>116</v>
      </c>
    </row>
    <row r="91" spans="1:9" ht="15.75">
      <c r="A91" s="46" t="s">
        <v>268</v>
      </c>
      <c r="B91" s="190">
        <v>17</v>
      </c>
      <c r="C91" s="190">
        <v>204</v>
      </c>
      <c r="D91" s="190">
        <v>12</v>
      </c>
      <c r="E91" s="190">
        <v>240</v>
      </c>
      <c r="F91" s="190">
        <v>10</v>
      </c>
      <c r="G91" s="191">
        <v>200</v>
      </c>
      <c r="H91" s="29">
        <v>39</v>
      </c>
      <c r="I91" s="29">
        <v>644</v>
      </c>
    </row>
    <row r="92" spans="1:9" ht="15.75">
      <c r="A92" s="46" t="s">
        <v>71</v>
      </c>
      <c r="B92" s="190">
        <v>6</v>
      </c>
      <c r="C92" s="190">
        <v>72</v>
      </c>
      <c r="D92" s="190">
        <v>6</v>
      </c>
      <c r="E92" s="190">
        <v>120</v>
      </c>
      <c r="F92" s="190">
        <v>3</v>
      </c>
      <c r="G92" s="191">
        <v>60</v>
      </c>
      <c r="H92" s="29">
        <v>15</v>
      </c>
      <c r="I92" s="29">
        <v>252</v>
      </c>
    </row>
    <row r="93" spans="1:9" ht="15.75">
      <c r="A93" s="46" t="s">
        <v>269</v>
      </c>
      <c r="B93" s="190">
        <v>3</v>
      </c>
      <c r="C93" s="190">
        <v>36</v>
      </c>
      <c r="D93" s="190">
        <v>2</v>
      </c>
      <c r="E93" s="190">
        <v>40</v>
      </c>
      <c r="F93" s="190">
        <v>1</v>
      </c>
      <c r="G93" s="191">
        <v>20</v>
      </c>
      <c r="H93" s="29">
        <v>6</v>
      </c>
      <c r="I93" s="29">
        <v>96</v>
      </c>
    </row>
    <row r="94" spans="1:9" ht="15.75">
      <c r="A94" s="46" t="s">
        <v>116</v>
      </c>
      <c r="B94" s="190">
        <v>11</v>
      </c>
      <c r="C94" s="190">
        <v>132</v>
      </c>
      <c r="D94" s="190">
        <v>7</v>
      </c>
      <c r="E94" s="190">
        <v>140</v>
      </c>
      <c r="F94" s="190">
        <v>6</v>
      </c>
      <c r="G94" s="191">
        <v>120</v>
      </c>
      <c r="H94" s="29">
        <v>24</v>
      </c>
      <c r="I94" s="29">
        <v>392</v>
      </c>
    </row>
    <row r="95" spans="1:9" ht="15.75">
      <c r="A95" s="46" t="s">
        <v>270</v>
      </c>
      <c r="B95" s="190">
        <v>5</v>
      </c>
      <c r="C95" s="190">
        <v>60</v>
      </c>
      <c r="D95" s="190">
        <v>3</v>
      </c>
      <c r="E95" s="190">
        <v>60</v>
      </c>
      <c r="F95" s="190">
        <v>2</v>
      </c>
      <c r="G95" s="191">
        <v>40</v>
      </c>
      <c r="H95" s="29">
        <v>10</v>
      </c>
      <c r="I95" s="29">
        <v>160</v>
      </c>
    </row>
    <row r="96" spans="1:9" ht="15.75">
      <c r="A96" s="46" t="s">
        <v>74</v>
      </c>
      <c r="B96" s="190">
        <v>68</v>
      </c>
      <c r="C96" s="190">
        <v>816</v>
      </c>
      <c r="D96" s="190">
        <v>49</v>
      </c>
      <c r="E96" s="190">
        <v>980</v>
      </c>
      <c r="F96" s="190">
        <v>41</v>
      </c>
      <c r="G96" s="191">
        <v>820</v>
      </c>
      <c r="H96" s="29">
        <v>158</v>
      </c>
      <c r="I96" s="29">
        <v>2616</v>
      </c>
    </row>
    <row r="97" spans="1:9" ht="16.5" thickBot="1">
      <c r="A97" s="47" t="s">
        <v>95</v>
      </c>
      <c r="B97" s="194">
        <v>21</v>
      </c>
      <c r="C97" s="194">
        <v>252</v>
      </c>
      <c r="D97" s="194">
        <v>10</v>
      </c>
      <c r="E97" s="194">
        <v>200</v>
      </c>
      <c r="F97" s="194">
        <v>12</v>
      </c>
      <c r="G97" s="195">
        <v>240</v>
      </c>
      <c r="H97" s="49">
        <v>43</v>
      </c>
      <c r="I97" s="49">
        <v>692</v>
      </c>
    </row>
    <row r="98" spans="1:9" ht="19.5" thickBot="1">
      <c r="A98" s="50" t="s">
        <v>121</v>
      </c>
      <c r="B98" s="196">
        <v>247</v>
      </c>
      <c r="C98" s="196">
        <v>2964</v>
      </c>
      <c r="D98" s="196">
        <v>173</v>
      </c>
      <c r="E98" s="196">
        <v>3460</v>
      </c>
      <c r="F98" s="196">
        <v>149</v>
      </c>
      <c r="G98" s="198">
        <v>2980</v>
      </c>
      <c r="H98" s="51">
        <v>569</v>
      </c>
      <c r="I98" s="187">
        <v>9404</v>
      </c>
    </row>
  </sheetData>
  <sheetProtection/>
  <printOptions horizontalCentered="1"/>
  <pageMargins left="0.7874015748031497" right="0.7874015748031497" top="0.35433070866141736" bottom="0.2362204724409449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LEOPOLDVF</dc:creator>
  <cp:keywords/>
  <dc:description/>
  <cp:lastModifiedBy>SARA RODRIGUEZ CUETO</cp:lastModifiedBy>
  <cp:lastPrinted>2023-07-13T11:30:29Z</cp:lastPrinted>
  <dcterms:created xsi:type="dcterms:W3CDTF">2014-06-16T09:57:17Z</dcterms:created>
  <dcterms:modified xsi:type="dcterms:W3CDTF">2023-07-14T10:39:39Z</dcterms:modified>
  <cp:category/>
  <cp:version/>
  <cp:contentType/>
  <cp:contentStatus/>
</cp:coreProperties>
</file>